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aming Revenue\Table Games Revenue Reports\Tax Returns\2016-17\Website Reports\"/>
    </mc:Choice>
  </mc:AlternateContent>
  <bookViews>
    <workbookView xWindow="480" yWindow="120" windowWidth="27795" windowHeight="12585"/>
  </bookViews>
  <sheets>
    <sheet name="FY 2016-17" sheetId="1" r:id="rId1"/>
    <sheet name="Footnotes" sheetId="2" r:id="rId2"/>
  </sheets>
  <definedNames>
    <definedName name="_xlnm.Print_Area" localSheetId="1">Footnotes!$A$1:$F$7</definedName>
    <definedName name="_xlnm.Print_Area" localSheetId="0">'FY 2016-17'!$A$1:$P$342</definedName>
    <definedName name="_xlnm.Print_Titles" localSheetId="0">'FY 2016-17'!$A:$A,'FY 2016-17'!$1:$4</definedName>
  </definedNames>
  <calcPr calcId="171027"/>
</workbook>
</file>

<file path=xl/calcChain.xml><?xml version="1.0" encoding="utf-8"?>
<calcChain xmlns="http://schemas.openxmlformats.org/spreadsheetml/2006/main">
  <c r="P321" i="2" l="1"/>
  <c r="P321" i="1"/>
  <c r="O316" i="1" l="1"/>
  <c r="P316" i="1" s="1"/>
  <c r="O315" i="1"/>
  <c r="P315" i="1" s="1"/>
  <c r="O314" i="1"/>
  <c r="P314" i="1" s="1"/>
  <c r="O290" i="1"/>
  <c r="P290" i="1" s="1"/>
  <c r="O289" i="1"/>
  <c r="P289" i="1" s="1"/>
  <c r="O288" i="1"/>
  <c r="P288" i="1" s="1"/>
  <c r="O238" i="1"/>
  <c r="P238" i="1" s="1"/>
  <c r="O237" i="1"/>
  <c r="P237" i="1" s="1"/>
  <c r="O236" i="1"/>
  <c r="P236" i="1" s="1"/>
  <c r="O134" i="1"/>
  <c r="P134" i="1" s="1"/>
  <c r="O133" i="1"/>
  <c r="P133" i="1" s="1"/>
  <c r="O132" i="1"/>
  <c r="P132" i="1" s="1"/>
  <c r="O108" i="1"/>
  <c r="P108" i="1" s="1"/>
  <c r="O107" i="1"/>
  <c r="P107" i="1" s="1"/>
  <c r="O106" i="1"/>
  <c r="P106" i="1" s="1"/>
  <c r="O186" i="1" l="1"/>
  <c r="P186" i="1" s="1"/>
  <c r="O185" i="1"/>
  <c r="P185" i="1" s="1"/>
  <c r="O184" i="1"/>
  <c r="P184" i="1" s="1"/>
  <c r="O264" i="1" l="1"/>
  <c r="P264" i="1" s="1"/>
  <c r="O263" i="1"/>
  <c r="P263" i="1" s="1"/>
  <c r="O262" i="1"/>
  <c r="P262" i="1" s="1"/>
  <c r="O148" i="1" l="1"/>
  <c r="O160" i="1" l="1"/>
  <c r="P160" i="1" s="1"/>
  <c r="O159" i="1"/>
  <c r="P159" i="1" s="1"/>
  <c r="O158" i="1"/>
  <c r="P158" i="1" s="1"/>
  <c r="O212" i="1" l="1"/>
  <c r="P212" i="1" s="1"/>
  <c r="O211" i="1"/>
  <c r="P211" i="1" s="1"/>
  <c r="O210" i="1"/>
  <c r="P210" i="1" s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312" i="1"/>
  <c r="P312" i="1" s="1"/>
  <c r="O311" i="1"/>
  <c r="P311" i="1" s="1"/>
  <c r="O310" i="1"/>
  <c r="P310" i="1" s="1"/>
  <c r="O308" i="1"/>
  <c r="P308" i="1" s="1"/>
  <c r="O307" i="1"/>
  <c r="P307" i="1" s="1"/>
  <c r="O306" i="1"/>
  <c r="P306" i="1" s="1"/>
  <c r="O304" i="1"/>
  <c r="P304" i="1" s="1"/>
  <c r="O303" i="1"/>
  <c r="P303" i="1" s="1"/>
  <c r="O302" i="1"/>
  <c r="P302" i="1" s="1"/>
  <c r="O300" i="1"/>
  <c r="P300" i="1" s="1"/>
  <c r="O299" i="1"/>
  <c r="P299" i="1" s="1"/>
  <c r="O298" i="1"/>
  <c r="P298" i="1" s="1"/>
  <c r="O296" i="1"/>
  <c r="P296" i="1" s="1"/>
  <c r="O295" i="1"/>
  <c r="P295" i="1" s="1"/>
  <c r="O294" i="1"/>
  <c r="P294" i="1" s="1"/>
  <c r="O286" i="1"/>
  <c r="P286" i="1" s="1"/>
  <c r="O285" i="1"/>
  <c r="P285" i="1" s="1"/>
  <c r="O284" i="1"/>
  <c r="P284" i="1" s="1"/>
  <c r="O282" i="1"/>
  <c r="P282" i="1" s="1"/>
  <c r="O281" i="1"/>
  <c r="P281" i="1" s="1"/>
  <c r="O280" i="1"/>
  <c r="P280" i="1" s="1"/>
  <c r="O278" i="1"/>
  <c r="P278" i="1" s="1"/>
  <c r="O277" i="1"/>
  <c r="P277" i="1" s="1"/>
  <c r="O276" i="1"/>
  <c r="P276" i="1" s="1"/>
  <c r="O274" i="1"/>
  <c r="P274" i="1" s="1"/>
  <c r="O273" i="1"/>
  <c r="P273" i="1" s="1"/>
  <c r="O272" i="1"/>
  <c r="P272" i="1" s="1"/>
  <c r="O270" i="1"/>
  <c r="P270" i="1" s="1"/>
  <c r="O269" i="1"/>
  <c r="P269" i="1" s="1"/>
  <c r="O268" i="1"/>
  <c r="P268" i="1" s="1"/>
  <c r="O260" i="1"/>
  <c r="P260" i="1" s="1"/>
  <c r="O259" i="1"/>
  <c r="P259" i="1" s="1"/>
  <c r="O258" i="1"/>
  <c r="P258" i="1" s="1"/>
  <c r="O256" i="1"/>
  <c r="P256" i="1" s="1"/>
  <c r="O255" i="1"/>
  <c r="P255" i="1" s="1"/>
  <c r="O254" i="1"/>
  <c r="P254" i="1" s="1"/>
  <c r="O252" i="1"/>
  <c r="P252" i="1" s="1"/>
  <c r="O251" i="1"/>
  <c r="P251" i="1" s="1"/>
  <c r="O250" i="1"/>
  <c r="P250" i="1" s="1"/>
  <c r="O248" i="1"/>
  <c r="P248" i="1" s="1"/>
  <c r="O247" i="1"/>
  <c r="P247" i="1" s="1"/>
  <c r="O246" i="1"/>
  <c r="P246" i="1" s="1"/>
  <c r="O244" i="1"/>
  <c r="P244" i="1" s="1"/>
  <c r="O243" i="1"/>
  <c r="P243" i="1" s="1"/>
  <c r="O242" i="1"/>
  <c r="P242" i="1" s="1"/>
  <c r="O234" i="1"/>
  <c r="P234" i="1" s="1"/>
  <c r="O233" i="1"/>
  <c r="P233" i="1" s="1"/>
  <c r="O232" i="1"/>
  <c r="P232" i="1" s="1"/>
  <c r="O230" i="1"/>
  <c r="P230" i="1" s="1"/>
  <c r="O229" i="1"/>
  <c r="P229" i="1" s="1"/>
  <c r="O228" i="1"/>
  <c r="P228" i="1" s="1"/>
  <c r="O226" i="1"/>
  <c r="P226" i="1" s="1"/>
  <c r="O225" i="1"/>
  <c r="P225" i="1" s="1"/>
  <c r="O224" i="1"/>
  <c r="P224" i="1" s="1"/>
  <c r="O222" i="1"/>
  <c r="P222" i="1" s="1"/>
  <c r="O221" i="1"/>
  <c r="P221" i="1" s="1"/>
  <c r="O220" i="1"/>
  <c r="P220" i="1" s="1"/>
  <c r="O218" i="1"/>
  <c r="P218" i="1" s="1"/>
  <c r="O217" i="1"/>
  <c r="P217" i="1" s="1"/>
  <c r="O216" i="1"/>
  <c r="P216" i="1" s="1"/>
  <c r="O208" i="1"/>
  <c r="P208" i="1" s="1"/>
  <c r="O207" i="1"/>
  <c r="P207" i="1" s="1"/>
  <c r="O206" i="1"/>
  <c r="P206" i="1" s="1"/>
  <c r="O204" i="1"/>
  <c r="P204" i="1" s="1"/>
  <c r="O203" i="1"/>
  <c r="P203" i="1" s="1"/>
  <c r="O202" i="1"/>
  <c r="P202" i="1" s="1"/>
  <c r="O200" i="1"/>
  <c r="P200" i="1" s="1"/>
  <c r="O199" i="1"/>
  <c r="P199" i="1" s="1"/>
  <c r="O198" i="1"/>
  <c r="P198" i="1" s="1"/>
  <c r="O196" i="1"/>
  <c r="P196" i="1" s="1"/>
  <c r="O195" i="1"/>
  <c r="P195" i="1" s="1"/>
  <c r="O194" i="1"/>
  <c r="P194" i="1" s="1"/>
  <c r="O192" i="1"/>
  <c r="P192" i="1" s="1"/>
  <c r="O191" i="1"/>
  <c r="P191" i="1" s="1"/>
  <c r="O190" i="1"/>
  <c r="P190" i="1" s="1"/>
  <c r="O182" i="1"/>
  <c r="P182" i="1" s="1"/>
  <c r="O181" i="1"/>
  <c r="P181" i="1" s="1"/>
  <c r="O180" i="1"/>
  <c r="P180" i="1" s="1"/>
  <c r="O178" i="1"/>
  <c r="P178" i="1" s="1"/>
  <c r="O177" i="1"/>
  <c r="P177" i="1" s="1"/>
  <c r="O176" i="1"/>
  <c r="P176" i="1" s="1"/>
  <c r="O174" i="1"/>
  <c r="P174" i="1" s="1"/>
  <c r="O173" i="1"/>
  <c r="P173" i="1" s="1"/>
  <c r="O172" i="1"/>
  <c r="P172" i="1" s="1"/>
  <c r="O170" i="1"/>
  <c r="P170" i="1" s="1"/>
  <c r="O169" i="1"/>
  <c r="P169" i="1" s="1"/>
  <c r="O168" i="1"/>
  <c r="P168" i="1" s="1"/>
  <c r="O166" i="1"/>
  <c r="P166" i="1" s="1"/>
  <c r="O165" i="1"/>
  <c r="P165" i="1" s="1"/>
  <c r="O164" i="1"/>
  <c r="P164" i="1" s="1"/>
  <c r="O156" i="1"/>
  <c r="P156" i="1" s="1"/>
  <c r="O155" i="1"/>
  <c r="P155" i="1" s="1"/>
  <c r="O154" i="1"/>
  <c r="P154" i="1" s="1"/>
  <c r="O152" i="1"/>
  <c r="P152" i="1" s="1"/>
  <c r="O151" i="1"/>
  <c r="P151" i="1" s="1"/>
  <c r="O150" i="1"/>
  <c r="P150" i="1" s="1"/>
  <c r="P148" i="1"/>
  <c r="O147" i="1"/>
  <c r="P147" i="1" s="1"/>
  <c r="O146" i="1"/>
  <c r="P146" i="1" s="1"/>
  <c r="O144" i="1"/>
  <c r="P144" i="1" s="1"/>
  <c r="O143" i="1"/>
  <c r="P143" i="1" s="1"/>
  <c r="O142" i="1"/>
  <c r="P142" i="1" s="1"/>
  <c r="O140" i="1"/>
  <c r="P140" i="1" s="1"/>
  <c r="O139" i="1"/>
  <c r="P139" i="1" s="1"/>
  <c r="O138" i="1"/>
  <c r="P138" i="1" s="1"/>
  <c r="O130" i="1"/>
  <c r="P130" i="1" s="1"/>
  <c r="O129" i="1"/>
  <c r="P129" i="1" s="1"/>
  <c r="O128" i="1"/>
  <c r="P128" i="1" s="1"/>
  <c r="O126" i="1"/>
  <c r="P126" i="1" s="1"/>
  <c r="O125" i="1"/>
  <c r="P125" i="1" s="1"/>
  <c r="O124" i="1"/>
  <c r="P124" i="1" s="1"/>
  <c r="O122" i="1"/>
  <c r="P122" i="1" s="1"/>
  <c r="O121" i="1"/>
  <c r="P121" i="1" s="1"/>
  <c r="O120" i="1"/>
  <c r="P120" i="1" s="1"/>
  <c r="O118" i="1"/>
  <c r="P118" i="1" s="1"/>
  <c r="O117" i="1"/>
  <c r="P117" i="1" s="1"/>
  <c r="O116" i="1"/>
  <c r="P116" i="1" s="1"/>
  <c r="O114" i="1"/>
  <c r="P114" i="1" s="1"/>
  <c r="O113" i="1"/>
  <c r="P113" i="1" s="1"/>
  <c r="O112" i="1"/>
  <c r="P112" i="1" s="1"/>
  <c r="O104" i="1"/>
  <c r="P104" i="1" s="1"/>
  <c r="O103" i="1"/>
  <c r="P103" i="1" s="1"/>
  <c r="O102" i="1"/>
  <c r="P102" i="1" s="1"/>
  <c r="O100" i="1"/>
  <c r="P100" i="1" s="1"/>
  <c r="O99" i="1"/>
  <c r="P99" i="1" s="1"/>
  <c r="O98" i="1"/>
  <c r="P98" i="1" s="1"/>
  <c r="O96" i="1"/>
  <c r="P96" i="1" s="1"/>
  <c r="O95" i="1"/>
  <c r="P95" i="1" s="1"/>
  <c r="O94" i="1"/>
  <c r="P94" i="1" s="1"/>
  <c r="O92" i="1"/>
  <c r="P92" i="1" s="1"/>
  <c r="O91" i="1"/>
  <c r="P91" i="1" s="1"/>
  <c r="O90" i="1"/>
  <c r="P90" i="1" s="1"/>
  <c r="O88" i="1"/>
  <c r="P88" i="1" s="1"/>
  <c r="O87" i="1"/>
  <c r="P87" i="1" s="1"/>
  <c r="O86" i="1"/>
  <c r="P86" i="1" s="1"/>
  <c r="O82" i="1"/>
  <c r="P82" i="1" s="1"/>
  <c r="O81" i="1"/>
  <c r="P81" i="1" s="1"/>
  <c r="O80" i="1"/>
  <c r="P80" i="1" s="1"/>
  <c r="O78" i="1"/>
  <c r="P78" i="1" s="1"/>
  <c r="O77" i="1"/>
  <c r="P77" i="1" s="1"/>
  <c r="O76" i="1"/>
  <c r="P76" i="1" s="1"/>
  <c r="O74" i="1"/>
  <c r="P74" i="1" s="1"/>
  <c r="O73" i="1"/>
  <c r="P73" i="1" s="1"/>
  <c r="O72" i="1"/>
  <c r="P72" i="1" s="1"/>
  <c r="O70" i="1"/>
  <c r="P70" i="1" s="1"/>
  <c r="O69" i="1"/>
  <c r="P69" i="1" s="1"/>
  <c r="O68" i="1"/>
  <c r="P68" i="1" s="1"/>
  <c r="O66" i="1"/>
  <c r="P66" i="1" s="1"/>
  <c r="O65" i="1"/>
  <c r="P65" i="1" s="1"/>
  <c r="O64" i="1"/>
  <c r="P64" i="1" s="1"/>
  <c r="O62" i="1"/>
  <c r="P62" i="1" s="1"/>
  <c r="O61" i="1"/>
  <c r="P61" i="1" s="1"/>
  <c r="O60" i="1"/>
  <c r="P60" i="1" s="1"/>
  <c r="O56" i="1"/>
  <c r="P56" i="1" s="1"/>
  <c r="O55" i="1"/>
  <c r="P55" i="1" s="1"/>
  <c r="O54" i="1"/>
  <c r="P54" i="1" s="1"/>
  <c r="O52" i="1"/>
  <c r="P52" i="1" s="1"/>
  <c r="O51" i="1"/>
  <c r="P51" i="1" s="1"/>
  <c r="O50" i="1"/>
  <c r="P50" i="1" s="1"/>
  <c r="O48" i="1"/>
  <c r="P48" i="1" s="1"/>
  <c r="O47" i="1"/>
  <c r="P47" i="1" s="1"/>
  <c r="O46" i="1"/>
  <c r="P46" i="1" s="1"/>
  <c r="O44" i="1"/>
  <c r="P44" i="1" s="1"/>
  <c r="O43" i="1"/>
  <c r="P43" i="1" s="1"/>
  <c r="O42" i="1"/>
  <c r="P42" i="1" s="1"/>
  <c r="O40" i="1"/>
  <c r="P40" i="1" s="1"/>
  <c r="O39" i="1"/>
  <c r="P39" i="1" s="1"/>
  <c r="O38" i="1"/>
  <c r="P38" i="1" s="1"/>
  <c r="O36" i="1"/>
  <c r="P36" i="1" s="1"/>
  <c r="O35" i="1"/>
  <c r="P35" i="1" s="1"/>
  <c r="O34" i="1"/>
  <c r="P34" i="1" s="1"/>
  <c r="O30" i="1"/>
  <c r="P30" i="1" s="1"/>
  <c r="O29" i="1"/>
  <c r="P29" i="1" s="1"/>
  <c r="O28" i="1"/>
  <c r="P28" i="1" s="1"/>
  <c r="O26" i="1"/>
  <c r="P26" i="1" s="1"/>
  <c r="O25" i="1"/>
  <c r="P25" i="1" s="1"/>
  <c r="O24" i="1"/>
  <c r="P24" i="1" s="1"/>
  <c r="O22" i="1"/>
  <c r="P22" i="1" s="1"/>
  <c r="O21" i="1"/>
  <c r="P21" i="1" s="1"/>
  <c r="O20" i="1"/>
  <c r="P20" i="1" s="1"/>
  <c r="O18" i="1"/>
  <c r="P18" i="1" s="1"/>
  <c r="O17" i="1"/>
  <c r="P17" i="1" s="1"/>
  <c r="O16" i="1"/>
  <c r="P16" i="1" s="1"/>
  <c r="O14" i="1"/>
  <c r="P14" i="1" s="1"/>
  <c r="O13" i="1"/>
  <c r="P13" i="1" s="1"/>
  <c r="O12" i="1"/>
  <c r="P12" i="1" s="1"/>
  <c r="O10" i="1"/>
  <c r="P10" i="1" s="1"/>
  <c r="O9" i="1"/>
  <c r="P9" i="1" s="1"/>
  <c r="O8" i="1"/>
  <c r="P8" i="1" s="1"/>
  <c r="P341" i="1" l="1"/>
  <c r="P340" i="1"/>
  <c r="P342" i="1"/>
  <c r="P322" i="1"/>
  <c r="P336" i="1"/>
  <c r="P326" i="1"/>
  <c r="P320" i="1"/>
  <c r="P332" i="1"/>
  <c r="P328" i="1"/>
  <c r="P324" i="1"/>
  <c r="P334" i="1"/>
  <c r="P325" i="1"/>
  <c r="P330" i="1"/>
  <c r="P337" i="1"/>
  <c r="P333" i="1"/>
  <c r="P329" i="1"/>
  <c r="P338" i="1"/>
</calcChain>
</file>

<file path=xl/sharedStrings.xml><?xml version="1.0" encoding="utf-8"?>
<sst xmlns="http://schemas.openxmlformats.org/spreadsheetml/2006/main" count="402" uniqueCount="46">
  <si>
    <r>
      <t xml:space="preserve">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</si>
  <si>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</si>
  <si>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Grand Total</t>
  </si>
  <si>
    <t>MOHEGAN SUN</t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</si>
  <si>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</si>
  <si>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</si>
  <si>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</si>
  <si>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</si>
  <si>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</si>
  <si>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</si>
  <si>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</si>
  <si>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Hybrid Tables</t>
  </si>
  <si>
    <t>PARX</t>
  </si>
  <si>
    <t/>
  </si>
  <si>
    <t>HARRAH'S PHILADELPHIA</t>
  </si>
  <si>
    <t>PRESQUE ISLE</t>
  </si>
  <si>
    <t>THE MEADOWS</t>
  </si>
  <si>
    <t>MOUNT AIRY</t>
  </si>
  <si>
    <t>PENN NATIONAL</t>
  </si>
  <si>
    <t>SANDS BETHLEHEM</t>
  </si>
  <si>
    <t>THE RIVERS</t>
  </si>
  <si>
    <t>SUGARHOUSE</t>
  </si>
  <si>
    <t>VALLEYFORGE</t>
  </si>
  <si>
    <t>NEMACOLIN</t>
  </si>
  <si>
    <t>TOTAL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</si>
  <si>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</si>
  <si>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</si>
  <si>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</si>
  <si>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</si>
  <si>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</si>
  <si>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</si>
  <si>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</si>
  <si>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</si>
  <si>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</si>
  <si>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</si>
  <si>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</si>
  <si>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</si>
  <si>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</si>
  <si>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</si>
  <si>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</si>
  <si>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</si>
  <si>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t>FOOTNOTES:</t>
  </si>
  <si>
    <t>FY 2016/2017 Total</t>
  </si>
  <si>
    <t>0</t>
  </si>
  <si>
    <r>
      <t xml:space="preserve">2 </t>
    </r>
    <r>
      <rPr>
        <i/>
        <sz val="16"/>
        <rFont val="Calibri"/>
        <family val="2"/>
      </rPr>
      <t>The state tax on banking, non-banking and electronic gaming tables is 14% for the first two years following commencement of table games operations at each licensed facility. After the initial two years, the tax rate drops to 12%.  The state tax on fully automated electronic table games is currently 48%.  Both rates decline 2% on the second anniversary of the introduction of table games at that particular facility.   Effective August 1, 2016, 2% tax increase on all casinos' gross table games revenue.  This additional 2% tax is set to expire on June 30, 2019.</t>
    </r>
  </si>
  <si>
    <t>Fully Automated Electronic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</si>
</sst>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</numFmts>
  <fonts count="14" x14ac:knownFonts="1">
    <font>
      <sz val="10"/>
      <name val="Arial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sz val="10"/>
      <name val="Arial"/>
      <family val="2"/>
    </font>
    <font>
      <vertAlign val="superscript"/>
      <sz val="12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0" borderId="0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" fontId="3" fillId="0" borderId="0" xfId="3" applyNumberFormat="1" applyFont="1" applyFill="1"/>
    <xf numFmtId="0" fontId="3" fillId="0" borderId="0" xfId="0" applyFont="1"/>
    <xf numFmtId="0" fontId="1" fillId="0" borderId="0" xfId="0" applyFont="1" applyAlignment="1">
      <alignment horizontal="left" indent="1"/>
    </xf>
    <xf numFmtId="164" fontId="1" fillId="0" borderId="0" xfId="3" applyNumberFormat="1" applyFont="1" applyFill="1"/>
    <xf numFmtId="166" fontId="1" fillId="0" borderId="0" xfId="3" applyNumberFormat="1" applyFont="1"/>
    <xf numFmtId="8" fontId="1" fillId="0" borderId="0" xfId="0" applyNumberFormat="1" applyFont="1"/>
    <xf numFmtId="166" fontId="1" fillId="0" borderId="0" xfId="3" applyNumberFormat="1" applyFont="1" applyAlignment="1">
      <alignment horizontal="right"/>
    </xf>
    <xf numFmtId="0" fontId="3" fillId="0" borderId="0" xfId="4" applyFont="1" applyAlignment="1">
      <alignment horizontal="left"/>
    </xf>
    <xf numFmtId="0" fontId="1" fillId="0" borderId="0" xfId="4" applyFont="1" applyAlignment="1">
      <alignment horizontal="left" indent="1"/>
    </xf>
    <xf numFmtId="8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0" fillId="0" borderId="0" xfId="0" applyFont="1"/>
    <xf numFmtId="37" fontId="1" fillId="0" borderId="0" xfId="2" applyNumberFormat="1" applyFont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wrapText="1"/>
    </xf>
    <xf numFmtId="0" fontId="11" fillId="0" borderId="0" xfId="0" applyFont="1"/>
    <xf numFmtId="0" fontId="13" fillId="0" borderId="0" xfId="0" applyFont="1"/>
    <xf numFmtId="0" fontId="5" fillId="0" borderId="0" xfId="0" applyFont="1" applyAlignment="1"/>
    <xf numFmtId="0" fontId="1" fillId="0" borderId="0" xfId="0" applyFont="1" applyAlignment="1"/>
    <xf numFmtId="1" fontId="3" fillId="0" borderId="0" xfId="3" applyNumberFormat="1" applyFont="1" applyFill="1" applyAlignment="1"/>
    <xf numFmtId="1" fontId="3" fillId="0" borderId="0" xfId="3" applyNumberFormat="1" applyFont="1" applyAlignment="1"/>
    <xf numFmtId="0" fontId="3" fillId="0" borderId="0" xfId="0" applyFont="1" applyAlignment="1"/>
    <xf numFmtId="164" fontId="1" fillId="0" borderId="0" xfId="3" applyNumberFormat="1" applyFont="1" applyFill="1" applyAlignment="1"/>
    <xf numFmtId="165" fontId="1" fillId="0" borderId="0" xfId="3" applyNumberFormat="1" applyFont="1" applyAlignment="1"/>
    <xf numFmtId="164" fontId="1" fillId="0" borderId="0" xfId="0" applyNumberFormat="1" applyFont="1" applyAlignment="1"/>
    <xf numFmtId="166" fontId="1" fillId="0" borderId="0" xfId="3" applyNumberFormat="1" applyFont="1" applyAlignment="1"/>
    <xf numFmtId="8" fontId="1" fillId="0" borderId="0" xfId="0" applyNumberFormat="1" applyFont="1" applyAlignment="1"/>
    <xf numFmtId="165" fontId="3" fillId="0" borderId="0" xfId="3" applyNumberFormat="1" applyFont="1" applyAlignment="1"/>
    <xf numFmtId="164" fontId="5" fillId="0" borderId="0" xfId="0" applyNumberFormat="1" applyFont="1" applyFill="1" applyAlignment="1"/>
    <xf numFmtId="1" fontId="1" fillId="0" borderId="0" xfId="3" applyNumberFormat="1" applyFont="1" applyAlignment="1"/>
    <xf numFmtId="8" fontId="1" fillId="0" borderId="0" xfId="3" applyNumberFormat="1" applyFont="1" applyFill="1" applyAlignment="1"/>
    <xf numFmtId="43" fontId="1" fillId="0" borderId="0" xfId="1" applyFont="1" applyFill="1" applyAlignment="1"/>
    <xf numFmtId="167" fontId="3" fillId="0" borderId="0" xfId="1" applyNumberFormat="1" applyFont="1" applyFill="1" applyAlignment="1"/>
    <xf numFmtId="3" fontId="3" fillId="0" borderId="0" xfId="3" applyNumberFormat="1" applyFont="1" applyFill="1" applyAlignment="1"/>
    <xf numFmtId="165" fontId="1" fillId="0" borderId="0" xfId="0" applyNumberFormat="1" applyFont="1" applyAlignment="1"/>
    <xf numFmtId="1" fontId="3" fillId="0" borderId="0" xfId="3" applyNumberFormat="1" applyFont="1" applyFill="1" applyAlignment="1">
      <alignment horizontal="right"/>
    </xf>
    <xf numFmtId="164" fontId="1" fillId="0" borderId="0" xfId="3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6" fontId="1" fillId="0" borderId="0" xfId="3" applyNumberFormat="1" applyFont="1" applyFill="1" applyAlignment="1"/>
    <xf numFmtId="1" fontId="1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123825</xdr:rowOff>
    </xdr:from>
    <xdr:to>
      <xdr:col>6</xdr:col>
      <xdr:colOff>76200</xdr:colOff>
      <xdr:row>1</xdr:row>
      <xdr:rowOff>219075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23825"/>
          <a:ext cx="48577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123825</xdr:colOff>
      <xdr:row>1</xdr:row>
      <xdr:rowOff>219075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4"/>
  <sheetViews>
    <sheetView tabSelected="1" topLeftCell="B1" zoomScale="85" zoomScaleNormal="85" zoomScaleSheetLayoutView="75" workbookViewId="0">
      <selection activeCell="I324" sqref="I324"/>
    </sheetView>
  </sheetViews>
  <sheetFormatPr defaultRowHeight="15.75" x14ac:dyDescent="0.25"/>
  <cols>
    <col min="1" max="1" width="37.85546875" style="3" bestFit="1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6" width="20.7109375" style="3" customWidth="1"/>
    <col min="17" max="18" width="25" style="3" bestFit="1" customWidth="1"/>
    <col min="19" max="19" width="9.140625" style="3"/>
    <col min="20" max="20" width="15.140625" style="3" bestFit="1" customWidth="1"/>
    <col min="21" max="16384" width="9.140625" style="3"/>
  </cols>
  <sheetData>
    <row r="1" spans="1:24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24" ht="18.75" customHeight="1" x14ac:dyDescent="0.25"/>
    <row r="3" spans="1:24" ht="31.5" customHeight="1" x14ac:dyDescent="0.25">
      <c r="A3" s="56" t="s">
        <v>0</v>
      </c>
      <c r="B3" s="56"/>
      <c r="C3" s="56"/>
      <c r="D3" s="56"/>
      <c r="E3" s="56"/>
      <c r="F3" s="56"/>
      <c r="G3" s="56"/>
      <c r="H3" s="56" t="s">
        <v>1</v>
      </c>
      <c r="I3" s="56"/>
      <c r="J3" s="56"/>
      <c r="K3" s="56"/>
      <c r="L3" s="56"/>
      <c r="M3" s="56"/>
      <c r="N3" s="56"/>
    </row>
    <row r="4" spans="1:24" s="7" customFormat="1" ht="23.25" customHeight="1" x14ac:dyDescent="0.25">
      <c r="A4" s="5"/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6"/>
      <c r="O4" s="6" t="s">
        <v>42</v>
      </c>
      <c r="P4" s="6" t="s">
        <v>2</v>
      </c>
    </row>
    <row r="5" spans="1:24" s="10" customFormat="1" ht="16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24" ht="15.75" customHeight="1" x14ac:dyDescent="0.25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4" s="15" customFormat="1" ht="15.75" customHeight="1" x14ac:dyDescent="0.25">
      <c r="A7" s="13" t="s">
        <v>4</v>
      </c>
      <c r="B7" s="33">
        <v>90</v>
      </c>
      <c r="C7" s="33">
        <v>90</v>
      </c>
      <c r="D7" s="33">
        <v>91</v>
      </c>
      <c r="E7" s="33">
        <v>91</v>
      </c>
      <c r="F7" s="33">
        <v>91</v>
      </c>
      <c r="G7" s="33">
        <v>91</v>
      </c>
      <c r="H7" s="33">
        <v>91</v>
      </c>
      <c r="I7" s="33">
        <v>91</v>
      </c>
      <c r="J7" s="33">
        <v>91</v>
      </c>
      <c r="K7" s="49">
        <v>91</v>
      </c>
      <c r="L7" s="33">
        <v>91</v>
      </c>
      <c r="M7" s="33">
        <v>91</v>
      </c>
      <c r="N7" s="34"/>
      <c r="O7" s="33"/>
      <c r="P7" s="33"/>
      <c r="Q7" s="35"/>
      <c r="R7" s="35"/>
      <c r="S7" s="35"/>
      <c r="T7" s="35"/>
      <c r="U7" s="35"/>
      <c r="V7" s="35"/>
      <c r="W7" s="35"/>
      <c r="X7" s="35"/>
    </row>
    <row r="8" spans="1:24" ht="15.75" customHeight="1" x14ac:dyDescent="0.25">
      <c r="A8" s="16" t="s">
        <v>5</v>
      </c>
      <c r="B8" s="36">
        <v>4575539.93</v>
      </c>
      <c r="C8" s="36">
        <v>3002410.27</v>
      </c>
      <c r="D8" s="36">
        <v>3630620.38</v>
      </c>
      <c r="E8" s="36">
        <v>4603835.12</v>
      </c>
      <c r="F8" s="36">
        <v>2868969.0900000003</v>
      </c>
      <c r="G8" s="36">
        <v>3948244.07</v>
      </c>
      <c r="H8" s="36">
        <v>3718423.9100000006</v>
      </c>
      <c r="I8" s="36">
        <v>3350080.14</v>
      </c>
      <c r="J8" s="36">
        <v>3872428.82</v>
      </c>
      <c r="K8" s="50">
        <v>3504837.95</v>
      </c>
      <c r="L8" s="36">
        <v>2861109.77</v>
      </c>
      <c r="M8" s="36">
        <v>3470591.8100000005</v>
      </c>
      <c r="N8" s="37"/>
      <c r="O8" s="36">
        <f>SUM(B8:M8)</f>
        <v>43407091.260000005</v>
      </c>
      <c r="P8" s="36">
        <f>O8+264296294</f>
        <v>307703385.25999999</v>
      </c>
      <c r="Q8" s="32"/>
      <c r="R8" s="38"/>
      <c r="S8" s="38"/>
      <c r="T8" s="38"/>
      <c r="U8" s="32"/>
      <c r="V8" s="32"/>
      <c r="W8" s="32"/>
      <c r="X8" s="32"/>
    </row>
    <row r="9" spans="1:24" ht="15.75" customHeight="1" x14ac:dyDescent="0.25">
      <c r="A9" s="16" t="s">
        <v>6</v>
      </c>
      <c r="B9" s="36">
        <v>549064.79</v>
      </c>
      <c r="C9" s="36">
        <v>420337.43999999994</v>
      </c>
      <c r="D9" s="36">
        <v>508286.86000000004</v>
      </c>
      <c r="E9" s="36">
        <v>644536.92999999993</v>
      </c>
      <c r="F9" s="36">
        <v>401655.69</v>
      </c>
      <c r="G9" s="36">
        <v>552754.16999999993</v>
      </c>
      <c r="H9" s="36">
        <v>520579.35</v>
      </c>
      <c r="I9" s="36">
        <v>469011.22000000003</v>
      </c>
      <c r="J9" s="36">
        <v>542140.04999999993</v>
      </c>
      <c r="K9" s="50">
        <v>490677.30000000005</v>
      </c>
      <c r="L9" s="36">
        <v>400555.38</v>
      </c>
      <c r="M9" s="36">
        <v>485882.86</v>
      </c>
      <c r="N9" s="39"/>
      <c r="O9" s="36">
        <f>SUM(B9:M9)</f>
        <v>5985482.04</v>
      </c>
      <c r="P9" s="36">
        <f>O9+33381062</f>
        <v>39366544.039999999</v>
      </c>
      <c r="Q9" s="32"/>
      <c r="R9" s="38"/>
      <c r="S9" s="38"/>
      <c r="T9" s="38"/>
      <c r="U9" s="32"/>
      <c r="V9" s="32"/>
      <c r="W9" s="32"/>
      <c r="X9" s="32"/>
    </row>
    <row r="10" spans="1:24" ht="15.75" customHeight="1" x14ac:dyDescent="0.25">
      <c r="A10" s="16" t="s">
        <v>7</v>
      </c>
      <c r="B10" s="36">
        <v>91510.81</v>
      </c>
      <c r="C10" s="36">
        <v>60048.209999999992</v>
      </c>
      <c r="D10" s="36">
        <v>72612.39</v>
      </c>
      <c r="E10" s="36">
        <v>92076.709999999992</v>
      </c>
      <c r="F10" s="36">
        <v>57379.4</v>
      </c>
      <c r="G10" s="36">
        <v>78964.88</v>
      </c>
      <c r="H10" s="36">
        <v>74368.479999999996</v>
      </c>
      <c r="I10" s="36">
        <v>67001.61</v>
      </c>
      <c r="J10" s="36">
        <v>77448.56</v>
      </c>
      <c r="K10" s="50">
        <v>70096.75</v>
      </c>
      <c r="L10" s="36">
        <v>57222.19</v>
      </c>
      <c r="M10" s="36">
        <v>69411.839999999997</v>
      </c>
      <c r="N10" s="39"/>
      <c r="O10" s="36">
        <f>SUM(B10:M10)</f>
        <v>868141.83</v>
      </c>
      <c r="P10" s="36">
        <f>O10+5285925</f>
        <v>6154066.8300000001</v>
      </c>
      <c r="Q10" s="32"/>
      <c r="R10" s="38"/>
      <c r="S10" s="38"/>
      <c r="T10" s="38"/>
      <c r="U10" s="32"/>
      <c r="V10" s="32"/>
      <c r="W10" s="32"/>
      <c r="X10" s="32"/>
    </row>
    <row r="11" spans="1:24" s="15" customFormat="1" ht="15.75" customHeight="1" x14ac:dyDescent="0.25">
      <c r="A11" s="13" t="s">
        <v>8</v>
      </c>
      <c r="B11" s="33">
        <v>18</v>
      </c>
      <c r="C11" s="33">
        <v>18</v>
      </c>
      <c r="D11" s="33">
        <v>18</v>
      </c>
      <c r="E11" s="33">
        <v>18</v>
      </c>
      <c r="F11" s="33">
        <v>18</v>
      </c>
      <c r="G11" s="33">
        <v>18</v>
      </c>
      <c r="H11" s="33">
        <v>18</v>
      </c>
      <c r="I11" s="33">
        <v>18</v>
      </c>
      <c r="J11" s="33">
        <v>18</v>
      </c>
      <c r="K11" s="49">
        <v>18</v>
      </c>
      <c r="L11" s="33">
        <v>18</v>
      </c>
      <c r="M11" s="33">
        <v>18</v>
      </c>
      <c r="N11" s="31"/>
      <c r="O11" s="33"/>
      <c r="P11" s="33"/>
      <c r="Q11" s="35"/>
      <c r="R11" s="38"/>
      <c r="S11" s="38"/>
      <c r="T11" s="38"/>
      <c r="U11" s="35"/>
      <c r="V11" s="35"/>
      <c r="W11" s="35"/>
      <c r="X11" s="35"/>
    </row>
    <row r="12" spans="1:24" ht="15.75" customHeight="1" x14ac:dyDescent="0.25">
      <c r="A12" s="16" t="s">
        <v>5</v>
      </c>
      <c r="B12" s="36">
        <v>243669</v>
      </c>
      <c r="C12" s="36">
        <v>202457</v>
      </c>
      <c r="D12" s="36">
        <v>215580</v>
      </c>
      <c r="E12" s="36">
        <v>225877</v>
      </c>
      <c r="F12" s="36">
        <v>240625</v>
      </c>
      <c r="G12" s="36">
        <v>211388</v>
      </c>
      <c r="H12" s="36">
        <v>209196</v>
      </c>
      <c r="I12" s="36">
        <v>209569</v>
      </c>
      <c r="J12" s="36">
        <v>236357</v>
      </c>
      <c r="K12" s="50">
        <v>237850</v>
      </c>
      <c r="L12" s="36">
        <v>225431</v>
      </c>
      <c r="M12" s="36">
        <v>273687</v>
      </c>
      <c r="N12" s="40"/>
      <c r="O12" s="36">
        <f>SUM(B12:M12)</f>
        <v>2731686</v>
      </c>
      <c r="P12" s="36">
        <f>O12+21881275</f>
        <v>24612961</v>
      </c>
      <c r="Q12" s="32"/>
      <c r="R12" s="38"/>
      <c r="S12" s="38"/>
      <c r="T12" s="38"/>
      <c r="U12" s="32"/>
      <c r="V12" s="32"/>
      <c r="W12" s="32"/>
      <c r="X12" s="32"/>
    </row>
    <row r="13" spans="1:24" s="15" customFormat="1" ht="15.75" customHeight="1" x14ac:dyDescent="0.25">
      <c r="A13" s="16" t="s">
        <v>6</v>
      </c>
      <c r="B13" s="36">
        <v>29240.280000000002</v>
      </c>
      <c r="C13" s="36">
        <v>28343.98</v>
      </c>
      <c r="D13" s="36">
        <v>30181.200000000004</v>
      </c>
      <c r="E13" s="36">
        <v>31622.780000000002</v>
      </c>
      <c r="F13" s="36">
        <v>33687.5</v>
      </c>
      <c r="G13" s="36">
        <v>29594.32</v>
      </c>
      <c r="H13" s="36">
        <v>29287.439999999999</v>
      </c>
      <c r="I13" s="36">
        <v>29339.66</v>
      </c>
      <c r="J13" s="36">
        <v>33089.980000000003</v>
      </c>
      <c r="K13" s="50">
        <v>33299</v>
      </c>
      <c r="L13" s="36">
        <v>31560.34</v>
      </c>
      <c r="M13" s="36">
        <v>38316.18</v>
      </c>
      <c r="N13" s="31"/>
      <c r="O13" s="36">
        <f>SUM(B13:M13)</f>
        <v>377562.66000000003</v>
      </c>
      <c r="P13" s="36">
        <f>O13+2792283</f>
        <v>3169845.66</v>
      </c>
      <c r="Q13" s="35"/>
      <c r="R13" s="38"/>
      <c r="S13" s="38"/>
      <c r="T13" s="38"/>
      <c r="U13" s="35"/>
      <c r="V13" s="35"/>
      <c r="W13" s="35"/>
      <c r="X13" s="35"/>
    </row>
    <row r="14" spans="1:24" ht="15.75" customHeight="1" x14ac:dyDescent="0.25">
      <c r="A14" s="16" t="s">
        <v>7</v>
      </c>
      <c r="B14" s="36">
        <v>4873.3799999999992</v>
      </c>
      <c r="C14" s="36">
        <v>4049.14</v>
      </c>
      <c r="D14" s="36">
        <v>4311.6000000000004</v>
      </c>
      <c r="E14" s="36">
        <v>4517.54</v>
      </c>
      <c r="F14" s="36">
        <v>4812.5</v>
      </c>
      <c r="G14" s="36">
        <v>4227.76</v>
      </c>
      <c r="H14" s="36">
        <v>4183.92</v>
      </c>
      <c r="I14" s="36">
        <v>4191.38</v>
      </c>
      <c r="J14" s="36">
        <v>4727.1400000000003</v>
      </c>
      <c r="K14" s="50">
        <v>4757</v>
      </c>
      <c r="L14" s="36">
        <v>4508.62</v>
      </c>
      <c r="M14" s="36">
        <v>5473.74</v>
      </c>
      <c r="N14" s="40"/>
      <c r="O14" s="36">
        <f>SUM(B14:M14)</f>
        <v>54633.719999999994</v>
      </c>
      <c r="P14" s="36">
        <f>O14+437626</f>
        <v>492259.72</v>
      </c>
      <c r="Q14" s="55"/>
      <c r="R14" s="38"/>
      <c r="S14" s="38"/>
      <c r="T14" s="38"/>
      <c r="U14" s="32"/>
      <c r="V14" s="32"/>
      <c r="W14" s="32"/>
      <c r="X14" s="32"/>
    </row>
    <row r="15" spans="1:24" s="15" customFormat="1" ht="15.75" customHeight="1" x14ac:dyDescent="0.25">
      <c r="A15" s="13" t="s">
        <v>9</v>
      </c>
      <c r="B15" s="33">
        <v>71</v>
      </c>
      <c r="C15" s="33">
        <v>71</v>
      </c>
      <c r="D15" s="33">
        <v>71</v>
      </c>
      <c r="E15" s="33">
        <v>71</v>
      </c>
      <c r="F15" s="33">
        <v>71</v>
      </c>
      <c r="G15" s="33">
        <v>71</v>
      </c>
      <c r="H15" s="33">
        <v>71</v>
      </c>
      <c r="I15" s="33">
        <v>71</v>
      </c>
      <c r="J15" s="33">
        <v>71</v>
      </c>
      <c r="K15" s="49">
        <v>71</v>
      </c>
      <c r="L15" s="33">
        <v>71</v>
      </c>
      <c r="M15" s="33">
        <v>71</v>
      </c>
      <c r="N15" s="31"/>
      <c r="O15" s="33"/>
      <c r="P15" s="33"/>
      <c r="Q15" s="35"/>
      <c r="R15" s="38"/>
      <c r="S15" s="38"/>
      <c r="T15" s="38"/>
      <c r="U15" s="35"/>
      <c r="V15" s="35"/>
      <c r="W15" s="35"/>
      <c r="X15" s="35"/>
    </row>
    <row r="16" spans="1:24" ht="15.75" customHeight="1" x14ac:dyDescent="0.25">
      <c r="A16" s="16" t="s">
        <v>5</v>
      </c>
      <c r="B16" s="36">
        <v>4206285.33</v>
      </c>
      <c r="C16" s="36">
        <v>2665008.11</v>
      </c>
      <c r="D16" s="36">
        <v>3292438.92</v>
      </c>
      <c r="E16" s="36">
        <v>4255251.76</v>
      </c>
      <c r="F16" s="36">
        <v>2516448.3600000003</v>
      </c>
      <c r="G16" s="36">
        <v>3599172.38</v>
      </c>
      <c r="H16" s="36">
        <v>3348809.7500000005</v>
      </c>
      <c r="I16" s="36">
        <v>2950019.1999999997</v>
      </c>
      <c r="J16" s="36">
        <v>3518165.7299999995</v>
      </c>
      <c r="K16" s="50">
        <v>3095476.07</v>
      </c>
      <c r="L16" s="36">
        <v>2510138.52</v>
      </c>
      <c r="M16" s="36">
        <v>3071176.65</v>
      </c>
      <c r="N16" s="20"/>
      <c r="O16" s="36">
        <f t="shared" ref="O16:O26" si="0">SUM(B16:M16)</f>
        <v>39028390.780000001</v>
      </c>
      <c r="P16" s="36">
        <f>O16+242239794</f>
        <v>281268184.77999997</v>
      </c>
      <c r="Q16" s="32"/>
      <c r="R16" s="38"/>
      <c r="S16" s="38"/>
      <c r="T16" s="38"/>
      <c r="U16" s="32"/>
      <c r="V16" s="32"/>
      <c r="W16" s="32"/>
      <c r="X16" s="32"/>
    </row>
    <row r="17" spans="1:24" s="15" customFormat="1" ht="15.75" customHeight="1" x14ac:dyDescent="0.25">
      <c r="A17" s="16" t="s">
        <v>6</v>
      </c>
      <c r="B17" s="36">
        <v>504754.24000000005</v>
      </c>
      <c r="C17" s="36">
        <v>373101.14</v>
      </c>
      <c r="D17" s="36">
        <v>460941.45000000007</v>
      </c>
      <c r="E17" s="36">
        <v>595735.25</v>
      </c>
      <c r="F17" s="36">
        <v>352302.77999999997</v>
      </c>
      <c r="G17" s="36">
        <v>503884.13</v>
      </c>
      <c r="H17" s="36">
        <v>468833.36000000004</v>
      </c>
      <c r="I17" s="36">
        <v>413002.7</v>
      </c>
      <c r="J17" s="36">
        <v>492543.21000000008</v>
      </c>
      <c r="K17" s="50">
        <v>433366.64</v>
      </c>
      <c r="L17" s="36">
        <v>351419.39999999997</v>
      </c>
      <c r="M17" s="36">
        <v>429964.74000000005</v>
      </c>
      <c r="N17" s="31"/>
      <c r="O17" s="36">
        <f t="shared" si="0"/>
        <v>5379849.04</v>
      </c>
      <c r="P17" s="36">
        <f>O17+30567751</f>
        <v>35947600.039999999</v>
      </c>
      <c r="Q17" s="35"/>
      <c r="R17" s="38"/>
      <c r="S17" s="38"/>
      <c r="T17" s="38"/>
      <c r="U17" s="35"/>
      <c r="V17" s="35"/>
      <c r="W17" s="35"/>
      <c r="X17" s="35"/>
    </row>
    <row r="18" spans="1:24" ht="15.75" customHeight="1" x14ac:dyDescent="0.25">
      <c r="A18" s="16" t="s">
        <v>7</v>
      </c>
      <c r="B18" s="36">
        <v>84125.72</v>
      </c>
      <c r="C18" s="36">
        <v>53300.17</v>
      </c>
      <c r="D18" s="36">
        <v>65848.77</v>
      </c>
      <c r="E18" s="36">
        <v>85105.049999999988</v>
      </c>
      <c r="F18" s="36">
        <v>50328.97</v>
      </c>
      <c r="G18" s="36">
        <v>71983.45</v>
      </c>
      <c r="H18" s="36">
        <v>66976.2</v>
      </c>
      <c r="I18" s="36">
        <v>59000.39</v>
      </c>
      <c r="J18" s="36">
        <v>70363.31</v>
      </c>
      <c r="K18" s="50">
        <v>61909.51</v>
      </c>
      <c r="L18" s="36">
        <v>50202.77</v>
      </c>
      <c r="M18" s="36">
        <v>61423.54</v>
      </c>
      <c r="N18" s="39"/>
      <c r="O18" s="36">
        <f t="shared" si="0"/>
        <v>780567.85000000009</v>
      </c>
      <c r="P18" s="36">
        <f>O18+4844796</f>
        <v>5625363.8499999996</v>
      </c>
      <c r="Q18" s="32"/>
      <c r="R18" s="38"/>
      <c r="S18" s="38"/>
      <c r="T18" s="38"/>
      <c r="U18" s="32"/>
      <c r="V18" s="32"/>
      <c r="W18" s="32"/>
      <c r="X18" s="32"/>
    </row>
    <row r="19" spans="1:24" ht="15.75" customHeight="1" x14ac:dyDescent="0.25">
      <c r="A19" s="13" t="s">
        <v>10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49" t="s">
        <v>43</v>
      </c>
      <c r="L19" s="49" t="s">
        <v>43</v>
      </c>
      <c r="M19" s="33">
        <v>0</v>
      </c>
      <c r="N19" s="31"/>
      <c r="O19" s="33"/>
      <c r="P19" s="33"/>
      <c r="Q19" s="32"/>
      <c r="R19" s="38"/>
      <c r="S19" s="38"/>
      <c r="T19" s="38"/>
      <c r="U19" s="32"/>
      <c r="V19" s="32"/>
      <c r="W19" s="32"/>
      <c r="X19" s="32"/>
    </row>
    <row r="20" spans="1:24" ht="15.75" customHeight="1" x14ac:dyDescent="0.25">
      <c r="A20" s="16" t="s">
        <v>5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50">
        <v>0</v>
      </c>
      <c r="L20" s="36">
        <v>0</v>
      </c>
      <c r="M20" s="36">
        <v>0</v>
      </c>
      <c r="N20" s="31"/>
      <c r="O20" s="36">
        <f t="shared" si="0"/>
        <v>0</v>
      </c>
      <c r="P20" s="36">
        <f>O20</f>
        <v>0</v>
      </c>
      <c r="Q20" s="32"/>
      <c r="R20" s="38"/>
      <c r="S20" s="38"/>
      <c r="T20" s="38"/>
      <c r="U20" s="32"/>
      <c r="V20" s="32"/>
      <c r="W20" s="32"/>
      <c r="X20" s="32"/>
    </row>
    <row r="21" spans="1:24" s="15" customFormat="1" ht="15.75" customHeight="1" x14ac:dyDescent="0.25">
      <c r="A21" s="16" t="s">
        <v>6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50">
        <v>0</v>
      </c>
      <c r="L21" s="36">
        <v>0</v>
      </c>
      <c r="M21" s="36">
        <v>0</v>
      </c>
      <c r="N21" s="34"/>
      <c r="O21" s="36">
        <f t="shared" si="0"/>
        <v>0</v>
      </c>
      <c r="P21" s="36">
        <f>O21</f>
        <v>0</v>
      </c>
      <c r="Q21" s="35"/>
      <c r="R21" s="38"/>
      <c r="S21" s="38"/>
      <c r="T21" s="38"/>
      <c r="U21" s="35"/>
      <c r="V21" s="35"/>
      <c r="W21" s="35"/>
      <c r="X21" s="35"/>
    </row>
    <row r="22" spans="1:24" s="15" customFormat="1" ht="15.75" customHeight="1" x14ac:dyDescent="0.25">
      <c r="A22" s="16" t="s">
        <v>7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50">
        <v>0</v>
      </c>
      <c r="L22" s="36">
        <v>0</v>
      </c>
      <c r="M22" s="36">
        <v>0</v>
      </c>
      <c r="N22" s="41"/>
      <c r="O22" s="36">
        <f t="shared" si="0"/>
        <v>0</v>
      </c>
      <c r="P22" s="36">
        <f>O22</f>
        <v>0</v>
      </c>
      <c r="Q22" s="35"/>
      <c r="R22" s="38"/>
      <c r="S22" s="38"/>
      <c r="T22" s="38"/>
      <c r="U22" s="35"/>
      <c r="V22" s="35"/>
      <c r="W22" s="35"/>
      <c r="X22" s="35"/>
    </row>
    <row r="23" spans="1:24" ht="15.75" customHeight="1" x14ac:dyDescent="0.25">
      <c r="A23" s="13" t="s">
        <v>45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49" t="s">
        <v>43</v>
      </c>
      <c r="L23" s="49" t="s">
        <v>43</v>
      </c>
      <c r="M23" s="33">
        <v>0</v>
      </c>
      <c r="N23" s="39"/>
      <c r="O23" s="33"/>
      <c r="P23" s="33"/>
      <c r="Q23" s="32"/>
      <c r="R23" s="38"/>
      <c r="S23" s="38"/>
      <c r="T23" s="38"/>
      <c r="U23" s="32"/>
      <c r="V23" s="32"/>
      <c r="W23" s="32"/>
      <c r="X23" s="32"/>
    </row>
    <row r="24" spans="1:24" ht="15.75" customHeight="1" x14ac:dyDescent="0.25">
      <c r="A24" s="16" t="s">
        <v>5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50">
        <v>0</v>
      </c>
      <c r="L24" s="36">
        <v>0</v>
      </c>
      <c r="M24" s="36">
        <v>0</v>
      </c>
      <c r="N24" s="39"/>
      <c r="O24" s="36">
        <f t="shared" si="0"/>
        <v>0</v>
      </c>
      <c r="P24" s="36">
        <f>O24</f>
        <v>0</v>
      </c>
      <c r="Q24" s="32"/>
      <c r="R24" s="38"/>
      <c r="S24" s="38"/>
      <c r="T24" s="38"/>
      <c r="U24" s="32"/>
      <c r="V24" s="32"/>
      <c r="W24" s="32"/>
      <c r="X24" s="32"/>
    </row>
    <row r="25" spans="1:24" ht="15.75" customHeight="1" x14ac:dyDescent="0.25">
      <c r="A25" s="16" t="s">
        <v>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50">
        <v>0</v>
      </c>
      <c r="L25" s="36">
        <v>0</v>
      </c>
      <c r="M25" s="36">
        <v>0</v>
      </c>
      <c r="N25" s="31"/>
      <c r="O25" s="36">
        <f t="shared" si="0"/>
        <v>0</v>
      </c>
      <c r="P25" s="36">
        <f>O25</f>
        <v>0</v>
      </c>
      <c r="Q25" s="32"/>
      <c r="R25" s="38"/>
      <c r="S25" s="38"/>
      <c r="T25" s="38"/>
      <c r="U25" s="32"/>
      <c r="V25" s="32"/>
      <c r="W25" s="32"/>
      <c r="X25" s="32"/>
    </row>
    <row r="26" spans="1:24" ht="15.75" customHeight="1" x14ac:dyDescent="0.25">
      <c r="A26" s="16" t="s">
        <v>7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50">
        <v>0</v>
      </c>
      <c r="L26" s="36">
        <v>0</v>
      </c>
      <c r="M26" s="36">
        <v>0</v>
      </c>
      <c r="N26" s="40"/>
      <c r="O26" s="36">
        <f t="shared" si="0"/>
        <v>0</v>
      </c>
      <c r="P26" s="36">
        <f>O26</f>
        <v>0</v>
      </c>
      <c r="Q26" s="32"/>
      <c r="R26" s="38"/>
      <c r="S26" s="38"/>
      <c r="T26" s="38"/>
      <c r="U26" s="32"/>
      <c r="V26" s="32"/>
      <c r="W26" s="32"/>
      <c r="X26" s="32"/>
    </row>
    <row r="27" spans="1:24" ht="15.75" customHeight="1" x14ac:dyDescent="0.25">
      <c r="A27" s="21" t="s">
        <v>11</v>
      </c>
      <c r="B27" s="33">
        <v>1</v>
      </c>
      <c r="C27" s="33">
        <v>1</v>
      </c>
      <c r="D27" s="33">
        <v>2</v>
      </c>
      <c r="E27" s="33">
        <v>2</v>
      </c>
      <c r="F27" s="33">
        <v>2</v>
      </c>
      <c r="G27" s="33">
        <v>2</v>
      </c>
      <c r="H27" s="33">
        <v>2</v>
      </c>
      <c r="I27" s="33">
        <v>2</v>
      </c>
      <c r="J27" s="33">
        <v>2</v>
      </c>
      <c r="K27" s="49">
        <v>2</v>
      </c>
      <c r="L27" s="49">
        <v>2</v>
      </c>
      <c r="M27" s="49">
        <v>2</v>
      </c>
      <c r="N27" s="40"/>
      <c r="O27" s="36"/>
      <c r="P27" s="36"/>
      <c r="Q27" s="32"/>
      <c r="R27" s="38"/>
      <c r="S27" s="38"/>
      <c r="T27" s="38"/>
      <c r="U27" s="32"/>
      <c r="V27" s="32"/>
      <c r="W27" s="32"/>
      <c r="X27" s="32"/>
    </row>
    <row r="28" spans="1:24" ht="15.75" customHeight="1" x14ac:dyDescent="0.25">
      <c r="A28" s="22" t="s">
        <v>5</v>
      </c>
      <c r="B28" s="36">
        <v>125585.59999999999</v>
      </c>
      <c r="C28" s="36">
        <v>134945.16</v>
      </c>
      <c r="D28" s="36">
        <v>122601.46000000002</v>
      </c>
      <c r="E28" s="36">
        <v>122706.36</v>
      </c>
      <c r="F28" s="36">
        <v>111895.73000000001</v>
      </c>
      <c r="G28" s="36">
        <v>137683.69</v>
      </c>
      <c r="H28" s="36">
        <v>160418.16</v>
      </c>
      <c r="I28" s="36">
        <v>190491.94000000003</v>
      </c>
      <c r="J28" s="36">
        <v>117906.09</v>
      </c>
      <c r="K28" s="50">
        <v>171511.88</v>
      </c>
      <c r="L28" s="36">
        <v>125540.25</v>
      </c>
      <c r="M28" s="36">
        <v>125728.16</v>
      </c>
      <c r="N28" s="40"/>
      <c r="O28" s="36">
        <f>SUM(B28:M28)</f>
        <v>1647014.4800000002</v>
      </c>
      <c r="P28" s="36">
        <f>O28+175225</f>
        <v>1822239.4800000002</v>
      </c>
      <c r="Q28" s="38"/>
      <c r="R28" s="38"/>
      <c r="S28" s="38"/>
      <c r="T28" s="38"/>
      <c r="U28" s="32"/>
      <c r="V28" s="32"/>
      <c r="W28" s="32"/>
      <c r="X28" s="32"/>
    </row>
    <row r="29" spans="1:24" ht="15.75" customHeight="1" x14ac:dyDescent="0.25">
      <c r="A29" s="16" t="s">
        <v>6</v>
      </c>
      <c r="B29" s="36">
        <v>15070.269999999999</v>
      </c>
      <c r="C29" s="36">
        <v>18892.32</v>
      </c>
      <c r="D29" s="36">
        <v>17164.21</v>
      </c>
      <c r="E29" s="36">
        <v>17178.899999999998</v>
      </c>
      <c r="F29" s="36">
        <v>15665.410000000002</v>
      </c>
      <c r="G29" s="36">
        <v>19275.72</v>
      </c>
      <c r="H29" s="36">
        <v>22458.55</v>
      </c>
      <c r="I29" s="36">
        <v>26668.859999999997</v>
      </c>
      <c r="J29" s="36">
        <v>16506.86</v>
      </c>
      <c r="K29" s="50">
        <v>24011.66</v>
      </c>
      <c r="L29" s="36">
        <v>17575.64</v>
      </c>
      <c r="M29" s="36">
        <v>17601.939999999999</v>
      </c>
      <c r="N29" s="40"/>
      <c r="O29" s="36">
        <f>SUM(B29:M29)</f>
        <v>228070.33999999997</v>
      </c>
      <c r="P29" s="36">
        <f>O29+21027</f>
        <v>249097.33999999997</v>
      </c>
      <c r="Q29" s="38"/>
      <c r="R29" s="38"/>
      <c r="S29" s="38"/>
      <c r="T29" s="38"/>
      <c r="U29" s="32"/>
      <c r="V29" s="32"/>
      <c r="W29" s="32"/>
      <c r="X29" s="32"/>
    </row>
    <row r="30" spans="1:24" ht="15.75" customHeight="1" x14ac:dyDescent="0.25">
      <c r="A30" s="22" t="s">
        <v>7</v>
      </c>
      <c r="B30" s="36">
        <v>2511.71</v>
      </c>
      <c r="C30" s="36">
        <v>2698.8999999999996</v>
      </c>
      <c r="D30" s="36">
        <v>2452.02</v>
      </c>
      <c r="E30" s="36">
        <v>2454.1200000000003</v>
      </c>
      <c r="F30" s="36">
        <v>2237.9299999999998</v>
      </c>
      <c r="G30" s="36">
        <v>2753.67</v>
      </c>
      <c r="H30" s="36">
        <v>3208.36</v>
      </c>
      <c r="I30" s="36">
        <v>3809.8399999999997</v>
      </c>
      <c r="J30" s="36">
        <v>2358.1099999999997</v>
      </c>
      <c r="K30" s="50">
        <v>3430.24</v>
      </c>
      <c r="L30" s="36">
        <v>2510.8000000000002</v>
      </c>
      <c r="M30" s="36">
        <v>2514.5600000000004</v>
      </c>
      <c r="N30" s="40"/>
      <c r="O30" s="36">
        <f>SUM(B30:M30)</f>
        <v>32940.26</v>
      </c>
      <c r="P30" s="36">
        <f>O30+3505</f>
        <v>36445.26</v>
      </c>
      <c r="Q30" s="38"/>
      <c r="R30" s="38"/>
      <c r="S30" s="38"/>
      <c r="T30" s="38"/>
      <c r="U30" s="32"/>
      <c r="V30" s="32"/>
      <c r="W30" s="32"/>
      <c r="X30" s="32"/>
    </row>
    <row r="31" spans="1:24" ht="15.75" customHeight="1" x14ac:dyDescent="0.25">
      <c r="B31" s="36"/>
      <c r="C31" s="36"/>
      <c r="D31" s="36"/>
      <c r="E31" s="36"/>
      <c r="F31" s="36"/>
      <c r="G31" s="36"/>
      <c r="H31" s="32"/>
      <c r="I31" s="36"/>
      <c r="J31" s="36"/>
      <c r="K31" s="50"/>
      <c r="L31" s="36"/>
      <c r="M31" s="36"/>
      <c r="N31" s="31"/>
      <c r="O31" s="36"/>
      <c r="P31" s="36"/>
      <c r="Q31" s="32"/>
      <c r="R31" s="38"/>
      <c r="S31" s="38"/>
      <c r="T31" s="38"/>
      <c r="U31" s="32"/>
      <c r="V31" s="32"/>
      <c r="W31" s="32"/>
      <c r="X31" s="32"/>
    </row>
    <row r="32" spans="1:24" ht="15.75" customHeight="1" x14ac:dyDescent="0.25">
      <c r="A32" s="11" t="s">
        <v>12</v>
      </c>
      <c r="B32" s="42"/>
      <c r="C32" s="36"/>
      <c r="D32" s="36"/>
      <c r="E32" s="42"/>
      <c r="F32" s="42"/>
      <c r="G32" s="42"/>
      <c r="H32" s="32"/>
      <c r="I32" s="42"/>
      <c r="J32" s="42"/>
      <c r="K32" s="52"/>
      <c r="L32" s="36"/>
      <c r="M32" s="36"/>
      <c r="N32" s="40"/>
      <c r="O32" s="42"/>
      <c r="P32" s="42"/>
      <c r="Q32" s="32"/>
      <c r="R32" s="38"/>
      <c r="S32" s="38"/>
      <c r="T32" s="38"/>
      <c r="U32" s="32"/>
      <c r="V32" s="32"/>
      <c r="W32" s="32"/>
      <c r="X32" s="32"/>
    </row>
    <row r="33" spans="1:24" ht="15.75" customHeight="1" x14ac:dyDescent="0.25">
      <c r="A33" s="13" t="s">
        <v>4</v>
      </c>
      <c r="B33" s="33">
        <v>171.8</v>
      </c>
      <c r="C33" s="33">
        <v>171.2</v>
      </c>
      <c r="D33" s="33">
        <v>174.4</v>
      </c>
      <c r="E33" s="33">
        <v>174</v>
      </c>
      <c r="F33" s="33">
        <v>174</v>
      </c>
      <c r="G33" s="33">
        <v>173.4</v>
      </c>
      <c r="H33" s="33">
        <v>178</v>
      </c>
      <c r="I33" s="33">
        <v>178</v>
      </c>
      <c r="J33" s="33">
        <v>178</v>
      </c>
      <c r="K33" s="49">
        <v>177.6</v>
      </c>
      <c r="L33" s="33">
        <v>178</v>
      </c>
      <c r="M33" s="33">
        <v>178.68</v>
      </c>
      <c r="N33" s="31"/>
      <c r="O33" s="33"/>
      <c r="P33" s="33"/>
      <c r="Q33" s="32"/>
      <c r="R33" s="38"/>
      <c r="S33" s="38"/>
      <c r="T33" s="38"/>
      <c r="U33" s="32"/>
      <c r="V33" s="32"/>
      <c r="W33" s="32"/>
      <c r="X33" s="32"/>
    </row>
    <row r="34" spans="1:24" ht="15.75" customHeight="1" x14ac:dyDescent="0.25">
      <c r="A34" s="16" t="s">
        <v>5</v>
      </c>
      <c r="B34" s="36">
        <v>14015294.530000001</v>
      </c>
      <c r="C34" s="36">
        <v>12938983.780000001</v>
      </c>
      <c r="D34" s="36">
        <v>14091153.890000001</v>
      </c>
      <c r="E34" s="36">
        <v>12772721.67</v>
      </c>
      <c r="F34" s="36">
        <v>14381738.9</v>
      </c>
      <c r="G34" s="36">
        <v>13087663.9</v>
      </c>
      <c r="H34" s="36">
        <v>16236346.370000001</v>
      </c>
      <c r="I34" s="36">
        <v>13612476.99</v>
      </c>
      <c r="J34" s="36">
        <v>15335635.329999998</v>
      </c>
      <c r="K34" s="50">
        <v>15398150.18</v>
      </c>
      <c r="L34" s="36">
        <v>14232774.48</v>
      </c>
      <c r="M34" s="36">
        <v>14039603.169999998</v>
      </c>
      <c r="N34" s="40"/>
      <c r="O34" s="36">
        <f>SUM(B34:M34)</f>
        <v>170142543.19</v>
      </c>
      <c r="P34" s="36">
        <f>O34+732956315</f>
        <v>903098858.19000006</v>
      </c>
      <c r="Q34" s="32"/>
      <c r="R34" s="38"/>
      <c r="S34" s="38"/>
      <c r="T34" s="38"/>
      <c r="U34" s="32"/>
      <c r="V34" s="32"/>
      <c r="W34" s="32"/>
      <c r="X34" s="32"/>
    </row>
    <row r="35" spans="1:24" ht="15.75" customHeight="1" x14ac:dyDescent="0.25">
      <c r="A35" s="16" t="s">
        <v>6</v>
      </c>
      <c r="B35" s="36">
        <v>1681835.3599999999</v>
      </c>
      <c r="C35" s="36">
        <v>1811457.73</v>
      </c>
      <c r="D35" s="36">
        <v>1972761.5500000003</v>
      </c>
      <c r="E35" s="36">
        <v>1788181.0499999998</v>
      </c>
      <c r="F35" s="36">
        <v>2013443.4600000002</v>
      </c>
      <c r="G35" s="36">
        <v>1832272.96</v>
      </c>
      <c r="H35" s="36">
        <v>2273088.5100000002</v>
      </c>
      <c r="I35" s="36">
        <v>1905746.7999999998</v>
      </c>
      <c r="J35" s="36">
        <v>2146988.9500000002</v>
      </c>
      <c r="K35" s="50">
        <v>2155741.04</v>
      </c>
      <c r="L35" s="36">
        <v>1992588.4200000002</v>
      </c>
      <c r="M35" s="36">
        <v>1965544.4499999997</v>
      </c>
      <c r="N35" s="31"/>
      <c r="O35" s="36">
        <f>SUM(B35:M35)</f>
        <v>23539650.279999997</v>
      </c>
      <c r="P35" s="36">
        <f>O35+97120191</f>
        <v>120659841.28</v>
      </c>
      <c r="Q35" s="32"/>
      <c r="R35" s="38"/>
      <c r="S35" s="38"/>
      <c r="T35" s="38"/>
      <c r="U35" s="32"/>
      <c r="V35" s="32"/>
      <c r="W35" s="32"/>
      <c r="X35" s="32"/>
    </row>
    <row r="36" spans="1:24" ht="15.75" customHeight="1" x14ac:dyDescent="0.25">
      <c r="A36" s="16" t="s">
        <v>7</v>
      </c>
      <c r="B36" s="36">
        <v>280305.90000000002</v>
      </c>
      <c r="C36" s="36">
        <v>258779.68</v>
      </c>
      <c r="D36" s="36">
        <v>281823.09999999998</v>
      </c>
      <c r="E36" s="36">
        <v>255454.45</v>
      </c>
      <c r="F36" s="36">
        <v>287634.79999999993</v>
      </c>
      <c r="G36" s="36">
        <v>261753.29</v>
      </c>
      <c r="H36" s="36">
        <v>324726.94000000006</v>
      </c>
      <c r="I36" s="36">
        <v>272249.56</v>
      </c>
      <c r="J36" s="36">
        <v>306712.7</v>
      </c>
      <c r="K36" s="50">
        <v>307963.01</v>
      </c>
      <c r="L36" s="36">
        <v>284655.48</v>
      </c>
      <c r="M36" s="36">
        <v>280792.09000000003</v>
      </c>
      <c r="N36" s="20"/>
      <c r="O36" s="36">
        <f>SUM(B36:M36)</f>
        <v>3402851.0000000005</v>
      </c>
      <c r="P36" s="36">
        <f>O36+14659128</f>
        <v>18061979</v>
      </c>
      <c r="Q36" s="32"/>
      <c r="R36" s="38"/>
      <c r="S36" s="38"/>
      <c r="T36" s="38"/>
      <c r="U36" s="32"/>
      <c r="V36" s="32"/>
      <c r="W36" s="32"/>
      <c r="X36" s="32"/>
    </row>
    <row r="37" spans="1:24" ht="15.75" customHeight="1" x14ac:dyDescent="0.25">
      <c r="A37" s="13" t="s">
        <v>8</v>
      </c>
      <c r="B37" s="33">
        <v>46</v>
      </c>
      <c r="C37" s="33">
        <v>45.8</v>
      </c>
      <c r="D37" s="33">
        <v>45.4</v>
      </c>
      <c r="E37" s="33">
        <v>45</v>
      </c>
      <c r="F37" s="33">
        <v>45</v>
      </c>
      <c r="G37" s="33">
        <v>45</v>
      </c>
      <c r="H37" s="33">
        <v>45</v>
      </c>
      <c r="I37" s="33">
        <v>45</v>
      </c>
      <c r="J37" s="33">
        <v>45</v>
      </c>
      <c r="K37" s="49">
        <v>45</v>
      </c>
      <c r="L37" s="33">
        <v>45</v>
      </c>
      <c r="M37" s="33">
        <v>45</v>
      </c>
      <c r="N37" s="31"/>
      <c r="O37" s="33"/>
      <c r="P37" s="33"/>
      <c r="Q37" s="32"/>
      <c r="R37" s="38"/>
      <c r="S37" s="38"/>
      <c r="T37" s="38"/>
      <c r="U37" s="32"/>
      <c r="V37" s="32"/>
      <c r="W37" s="32"/>
      <c r="X37" s="32"/>
    </row>
    <row r="38" spans="1:24" ht="15.75" customHeight="1" x14ac:dyDescent="0.25">
      <c r="A38" s="16" t="s">
        <v>5</v>
      </c>
      <c r="B38" s="36">
        <v>1366894</v>
      </c>
      <c r="C38" s="36">
        <v>1508748.1</v>
      </c>
      <c r="D38" s="36">
        <v>1285762</v>
      </c>
      <c r="E38" s="36">
        <v>1404705.1</v>
      </c>
      <c r="F38" s="36">
        <v>1421952.01</v>
      </c>
      <c r="G38" s="36">
        <v>1487311</v>
      </c>
      <c r="H38" s="36">
        <v>1455766</v>
      </c>
      <c r="I38" s="36">
        <v>1511748.05</v>
      </c>
      <c r="J38" s="36">
        <v>1436830</v>
      </c>
      <c r="K38" s="50">
        <v>1513467.05</v>
      </c>
      <c r="L38" s="36">
        <v>1552474</v>
      </c>
      <c r="M38" s="36">
        <v>1347264</v>
      </c>
      <c r="N38" s="39"/>
      <c r="O38" s="36">
        <f>SUM(B38:M38)</f>
        <v>17292921.310000002</v>
      </c>
      <c r="P38" s="36">
        <f>O38+92397829</f>
        <v>109690750.31</v>
      </c>
      <c r="Q38" s="32"/>
      <c r="R38" s="38"/>
      <c r="S38" s="38"/>
      <c r="T38" s="38"/>
      <c r="U38" s="32"/>
      <c r="V38" s="32"/>
      <c r="W38" s="32"/>
      <c r="X38" s="32"/>
    </row>
    <row r="39" spans="1:24" ht="15.75" customHeight="1" x14ac:dyDescent="0.25">
      <c r="A39" s="16" t="s">
        <v>6</v>
      </c>
      <c r="B39" s="36">
        <v>164027.28</v>
      </c>
      <c r="C39" s="36">
        <v>211224.73</v>
      </c>
      <c r="D39" s="36">
        <v>180006.68</v>
      </c>
      <c r="E39" s="36">
        <v>196658.71000000002</v>
      </c>
      <c r="F39" s="36">
        <v>199073.28</v>
      </c>
      <c r="G39" s="36">
        <v>208223.53999999998</v>
      </c>
      <c r="H39" s="36">
        <v>203807.24000000002</v>
      </c>
      <c r="I39" s="36">
        <v>211644.73</v>
      </c>
      <c r="J39" s="36">
        <v>201156.19999999998</v>
      </c>
      <c r="K39" s="50">
        <v>211885.39</v>
      </c>
      <c r="L39" s="36">
        <v>217346.36</v>
      </c>
      <c r="M39" s="36">
        <v>188616.96000000002</v>
      </c>
      <c r="N39" s="32"/>
      <c r="O39" s="36">
        <f>SUM(B39:M39)</f>
        <v>2393671.0999999996</v>
      </c>
      <c r="P39" s="36">
        <f>O39+11639385</f>
        <v>14033056.1</v>
      </c>
      <c r="Q39" s="32"/>
      <c r="R39" s="38"/>
      <c r="S39" s="38"/>
      <c r="T39" s="38"/>
      <c r="U39" s="32"/>
      <c r="V39" s="32"/>
      <c r="W39" s="32"/>
      <c r="X39" s="32"/>
    </row>
    <row r="40" spans="1:24" ht="15.75" customHeight="1" x14ac:dyDescent="0.25">
      <c r="A40" s="16" t="s">
        <v>7</v>
      </c>
      <c r="B40" s="36">
        <v>27337.88</v>
      </c>
      <c r="C40" s="36">
        <v>30174.959999999999</v>
      </c>
      <c r="D40" s="36">
        <v>25715.239999999998</v>
      </c>
      <c r="E40" s="36">
        <v>28094.1</v>
      </c>
      <c r="F40" s="36">
        <v>28439.040000000001</v>
      </c>
      <c r="G40" s="36">
        <v>29746.219999999998</v>
      </c>
      <c r="H40" s="36">
        <v>29115.320000000003</v>
      </c>
      <c r="I40" s="36">
        <v>30234.960000000003</v>
      </c>
      <c r="J40" s="36">
        <v>28736.6</v>
      </c>
      <c r="K40" s="50">
        <v>30269.340000000004</v>
      </c>
      <c r="L40" s="36">
        <v>31049.480000000003</v>
      </c>
      <c r="M40" s="36">
        <v>26945.279999999999</v>
      </c>
      <c r="N40" s="32"/>
      <c r="O40" s="36">
        <f>SUM(B40:M40)</f>
        <v>345858.42000000004</v>
      </c>
      <c r="P40" s="36">
        <f>O40+1847957</f>
        <v>2193815.42</v>
      </c>
      <c r="Q40" s="32"/>
      <c r="R40" s="38"/>
      <c r="S40" s="38"/>
      <c r="T40" s="38"/>
      <c r="U40" s="32"/>
      <c r="V40" s="32"/>
      <c r="W40" s="32"/>
      <c r="X40" s="32"/>
    </row>
    <row r="41" spans="1:24" ht="15.75" customHeight="1" x14ac:dyDescent="0.25">
      <c r="A41" s="13" t="s">
        <v>9</v>
      </c>
      <c r="B41" s="33">
        <v>115.8</v>
      </c>
      <c r="C41" s="33">
        <v>115.4</v>
      </c>
      <c r="D41" s="33">
        <v>119</v>
      </c>
      <c r="E41" s="33">
        <v>119</v>
      </c>
      <c r="F41" s="33">
        <v>119</v>
      </c>
      <c r="G41" s="33">
        <v>118.4</v>
      </c>
      <c r="H41" s="33">
        <v>123</v>
      </c>
      <c r="I41" s="33">
        <v>123</v>
      </c>
      <c r="J41" s="33">
        <v>123</v>
      </c>
      <c r="K41" s="49">
        <v>123</v>
      </c>
      <c r="L41" s="33">
        <v>123.4</v>
      </c>
      <c r="M41" s="33">
        <v>124</v>
      </c>
      <c r="N41" s="43"/>
      <c r="O41" s="33"/>
      <c r="P41" s="33"/>
      <c r="Q41" s="32"/>
      <c r="R41" s="38"/>
      <c r="S41" s="38"/>
      <c r="T41" s="38"/>
      <c r="U41" s="32"/>
      <c r="V41" s="32"/>
      <c r="W41" s="32"/>
      <c r="X41" s="32"/>
    </row>
    <row r="42" spans="1:24" ht="15.75" customHeight="1" x14ac:dyDescent="0.25">
      <c r="A42" s="16" t="s">
        <v>5</v>
      </c>
      <c r="B42" s="36">
        <v>12104592.550000001</v>
      </c>
      <c r="C42" s="36">
        <v>10902584.75</v>
      </c>
      <c r="D42" s="36">
        <v>12305569.75</v>
      </c>
      <c r="E42" s="36">
        <v>10821583.300000001</v>
      </c>
      <c r="F42" s="36">
        <v>12536934.550000001</v>
      </c>
      <c r="G42" s="36">
        <v>11097406.5</v>
      </c>
      <c r="H42" s="36">
        <v>14269862.359999999</v>
      </c>
      <c r="I42" s="36">
        <v>11548245.75</v>
      </c>
      <c r="J42" s="36">
        <v>13226124.02</v>
      </c>
      <c r="K42" s="50">
        <v>13476280.370000001</v>
      </c>
      <c r="L42" s="36">
        <v>12239668.689999999</v>
      </c>
      <c r="M42" s="36">
        <v>12170068.960000001</v>
      </c>
      <c r="N42" s="37"/>
      <c r="O42" s="36">
        <f t="shared" ref="O42:O52" si="1">SUM(B42:M42)</f>
        <v>146698921.55000001</v>
      </c>
      <c r="P42" s="36">
        <f>O42+616041272</f>
        <v>762740193.54999995</v>
      </c>
      <c r="Q42" s="32"/>
      <c r="R42" s="38"/>
      <c r="S42" s="38"/>
      <c r="T42" s="38"/>
      <c r="U42" s="32"/>
      <c r="V42" s="32"/>
      <c r="W42" s="32"/>
      <c r="X42" s="32"/>
    </row>
    <row r="43" spans="1:24" ht="15.75" customHeight="1" x14ac:dyDescent="0.25">
      <c r="A43" s="16" t="s">
        <v>6</v>
      </c>
      <c r="B43" s="36">
        <v>1452551.11</v>
      </c>
      <c r="C43" s="36">
        <v>1526361.87</v>
      </c>
      <c r="D43" s="36">
        <v>1722779.78</v>
      </c>
      <c r="E43" s="36">
        <v>1515021.68</v>
      </c>
      <c r="F43" s="36">
        <v>1755170.85</v>
      </c>
      <c r="G43" s="36">
        <v>1553636.92</v>
      </c>
      <c r="H43" s="36">
        <v>1997780.75</v>
      </c>
      <c r="I43" s="36">
        <v>1616754.4200000002</v>
      </c>
      <c r="J43" s="36">
        <v>1851657.36</v>
      </c>
      <c r="K43" s="50">
        <v>1886679.2599999998</v>
      </c>
      <c r="L43" s="36">
        <v>1713553.61</v>
      </c>
      <c r="M43" s="36">
        <v>1703809.66</v>
      </c>
      <c r="N43" s="39"/>
      <c r="O43" s="36">
        <f t="shared" si="1"/>
        <v>20295757.27</v>
      </c>
      <c r="P43" s="36">
        <f>O43+77406555</f>
        <v>97702312.269999996</v>
      </c>
      <c r="Q43" s="32"/>
      <c r="R43" s="38"/>
      <c r="S43" s="38"/>
      <c r="T43" s="38"/>
      <c r="U43" s="32"/>
      <c r="V43" s="32"/>
      <c r="W43" s="32"/>
      <c r="X43" s="32"/>
    </row>
    <row r="44" spans="1:24" ht="15.75" customHeight="1" x14ac:dyDescent="0.25">
      <c r="A44" s="16" t="s">
        <v>7</v>
      </c>
      <c r="B44" s="36">
        <v>242091.86</v>
      </c>
      <c r="C44" s="36">
        <v>218051.69999999998</v>
      </c>
      <c r="D44" s="36">
        <v>246111.41</v>
      </c>
      <c r="E44" s="36">
        <v>216431.69</v>
      </c>
      <c r="F44" s="36">
        <v>250738.71</v>
      </c>
      <c r="G44" s="36">
        <v>221948.14</v>
      </c>
      <c r="H44" s="36">
        <v>285397.26</v>
      </c>
      <c r="I44" s="36">
        <v>230964.93000000002</v>
      </c>
      <c r="J44" s="36">
        <v>264522.48</v>
      </c>
      <c r="K44" s="50">
        <v>269525.62</v>
      </c>
      <c r="L44" s="36">
        <v>244793.37000000002</v>
      </c>
      <c r="M44" s="36">
        <v>243401.38999999998</v>
      </c>
      <c r="N44" s="39"/>
      <c r="O44" s="36">
        <f t="shared" si="1"/>
        <v>2933978.56</v>
      </c>
      <c r="P44" s="36">
        <f>O44+12320826</f>
        <v>15254804.560000001</v>
      </c>
      <c r="Q44" s="32"/>
      <c r="R44" s="38"/>
      <c r="S44" s="38"/>
      <c r="T44" s="38"/>
      <c r="U44" s="32"/>
      <c r="V44" s="32"/>
      <c r="W44" s="32"/>
      <c r="X44" s="32"/>
    </row>
    <row r="45" spans="1:24" ht="15.75" customHeight="1" x14ac:dyDescent="0.25">
      <c r="A45" s="13" t="s">
        <v>10</v>
      </c>
      <c r="B45" s="33">
        <v>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49" t="s">
        <v>43</v>
      </c>
      <c r="L45" s="33">
        <v>0</v>
      </c>
      <c r="M45" s="33">
        <v>0</v>
      </c>
      <c r="N45" s="31"/>
      <c r="O45" s="33"/>
      <c r="P45" s="33"/>
      <c r="Q45" s="32"/>
      <c r="R45" s="38"/>
      <c r="S45" s="38"/>
      <c r="T45" s="38"/>
      <c r="U45" s="32"/>
      <c r="V45" s="32"/>
      <c r="W45" s="32"/>
      <c r="X45" s="32"/>
    </row>
    <row r="46" spans="1:24" ht="15.75" customHeight="1" x14ac:dyDescent="0.25">
      <c r="A46" s="16" t="s">
        <v>5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50">
        <v>0</v>
      </c>
      <c r="L46" s="36">
        <v>0</v>
      </c>
      <c r="M46" s="36">
        <v>0</v>
      </c>
      <c r="N46" s="40"/>
      <c r="O46" s="36">
        <f t="shared" si="1"/>
        <v>0</v>
      </c>
      <c r="P46" s="36">
        <f>O46+5888459</f>
        <v>5888459</v>
      </c>
      <c r="Q46" s="32"/>
      <c r="R46" s="38"/>
      <c r="S46" s="38"/>
      <c r="T46" s="38"/>
      <c r="U46" s="32"/>
      <c r="V46" s="32"/>
      <c r="W46" s="32"/>
      <c r="X46" s="32"/>
    </row>
    <row r="47" spans="1:24" ht="15.75" customHeight="1" x14ac:dyDescent="0.25">
      <c r="A47" s="16" t="s">
        <v>6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50">
        <v>0</v>
      </c>
      <c r="L47" s="36">
        <v>0</v>
      </c>
      <c r="M47" s="36">
        <v>0</v>
      </c>
      <c r="N47" s="31"/>
      <c r="O47" s="36">
        <f t="shared" si="1"/>
        <v>0</v>
      </c>
      <c r="P47" s="36">
        <f>O47+824384</f>
        <v>824384</v>
      </c>
      <c r="Q47" s="32"/>
      <c r="R47" s="38"/>
      <c r="S47" s="38"/>
      <c r="T47" s="38"/>
      <c r="U47" s="32"/>
      <c r="V47" s="32"/>
      <c r="W47" s="32"/>
      <c r="X47" s="32"/>
    </row>
    <row r="48" spans="1:24" ht="15.75" customHeight="1" x14ac:dyDescent="0.25">
      <c r="A48" s="16" t="s">
        <v>7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50">
        <v>0</v>
      </c>
      <c r="L48" s="36">
        <v>0</v>
      </c>
      <c r="M48" s="36">
        <v>0</v>
      </c>
      <c r="N48" s="40"/>
      <c r="O48" s="36">
        <f t="shared" si="1"/>
        <v>0</v>
      </c>
      <c r="P48" s="36">
        <f>O48+117769</f>
        <v>117769</v>
      </c>
      <c r="Q48" s="32"/>
      <c r="R48" s="38"/>
      <c r="S48" s="38"/>
      <c r="T48" s="38"/>
      <c r="U48" s="32"/>
      <c r="V48" s="32"/>
      <c r="W48" s="32"/>
      <c r="X48" s="32"/>
    </row>
    <row r="49" spans="1:24" ht="15.75" customHeight="1" x14ac:dyDescent="0.25">
      <c r="A49" s="13" t="s">
        <v>45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49" t="s">
        <v>43</v>
      </c>
      <c r="L49" s="33">
        <v>0</v>
      </c>
      <c r="M49" s="33">
        <v>0</v>
      </c>
      <c r="N49" s="31"/>
      <c r="O49" s="33"/>
      <c r="P49" s="33"/>
      <c r="Q49" s="32"/>
      <c r="R49" s="38"/>
      <c r="S49" s="38"/>
      <c r="T49" s="38"/>
      <c r="U49" s="32"/>
      <c r="V49" s="32"/>
      <c r="W49" s="32"/>
      <c r="X49" s="32"/>
    </row>
    <row r="50" spans="1:24" ht="15.75" customHeight="1" x14ac:dyDescent="0.25">
      <c r="A50" s="16" t="s">
        <v>5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50">
        <v>0</v>
      </c>
      <c r="L50" s="36">
        <v>0</v>
      </c>
      <c r="M50" s="36">
        <v>0</v>
      </c>
      <c r="N50" s="20"/>
      <c r="O50" s="36">
        <f t="shared" si="1"/>
        <v>0</v>
      </c>
      <c r="P50" s="36">
        <f>O50+14545180</f>
        <v>14545180</v>
      </c>
      <c r="Q50" s="32"/>
      <c r="R50" s="38"/>
      <c r="S50" s="38"/>
      <c r="T50" s="38"/>
      <c r="U50" s="32"/>
      <c r="V50" s="32"/>
      <c r="W50" s="32"/>
      <c r="X50" s="32"/>
    </row>
    <row r="51" spans="1:24" ht="15.75" customHeight="1" x14ac:dyDescent="0.25">
      <c r="A51" s="16" t="s">
        <v>6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50">
        <v>0</v>
      </c>
      <c r="L51" s="36">
        <v>0</v>
      </c>
      <c r="M51" s="36">
        <v>0</v>
      </c>
      <c r="N51" s="31"/>
      <c r="O51" s="36">
        <f t="shared" si="1"/>
        <v>0</v>
      </c>
      <c r="P51" s="36">
        <f>O51+6759836</f>
        <v>6759836</v>
      </c>
      <c r="Q51" s="32"/>
      <c r="R51" s="38"/>
      <c r="S51" s="38"/>
      <c r="T51" s="38"/>
      <c r="U51" s="32"/>
      <c r="V51" s="32"/>
      <c r="W51" s="32"/>
      <c r="X51" s="32"/>
    </row>
    <row r="52" spans="1:24" ht="15.75" customHeight="1" x14ac:dyDescent="0.25">
      <c r="A52" s="16" t="s">
        <v>7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50">
        <v>0</v>
      </c>
      <c r="L52" s="36">
        <v>0</v>
      </c>
      <c r="M52" s="36">
        <v>0</v>
      </c>
      <c r="N52" s="39"/>
      <c r="O52" s="36">
        <f t="shared" si="1"/>
        <v>0</v>
      </c>
      <c r="P52" s="36">
        <f>O52+290904</f>
        <v>290904</v>
      </c>
      <c r="Q52" s="32"/>
      <c r="R52" s="38"/>
      <c r="S52" s="38"/>
      <c r="T52" s="38"/>
      <c r="U52" s="32"/>
      <c r="V52" s="32"/>
      <c r="W52" s="32"/>
      <c r="X52" s="32"/>
    </row>
    <row r="53" spans="1:24" ht="15.75" customHeight="1" x14ac:dyDescent="0.25">
      <c r="A53" s="21" t="s">
        <v>11</v>
      </c>
      <c r="B53" s="33">
        <v>10</v>
      </c>
      <c r="C53" s="33">
        <v>10</v>
      </c>
      <c r="D53" s="33">
        <v>10</v>
      </c>
      <c r="E53" s="33">
        <v>10</v>
      </c>
      <c r="F53" s="33">
        <v>10</v>
      </c>
      <c r="G53" s="33">
        <v>10</v>
      </c>
      <c r="H53" s="33">
        <v>10</v>
      </c>
      <c r="I53" s="33">
        <v>10</v>
      </c>
      <c r="J53" s="33">
        <v>10</v>
      </c>
      <c r="K53" s="49">
        <v>9.6</v>
      </c>
      <c r="L53" s="33">
        <v>10</v>
      </c>
      <c r="M53" s="33">
        <v>10</v>
      </c>
      <c r="N53" s="39"/>
      <c r="O53" s="36"/>
      <c r="P53" s="36"/>
      <c r="Q53" s="32"/>
      <c r="R53" s="38"/>
      <c r="S53" s="38"/>
      <c r="T53" s="38"/>
      <c r="U53" s="32"/>
      <c r="V53" s="32"/>
      <c r="W53" s="32"/>
      <c r="X53" s="32"/>
    </row>
    <row r="54" spans="1:24" ht="15.75" customHeight="1" x14ac:dyDescent="0.25">
      <c r="A54" s="22" t="s">
        <v>5</v>
      </c>
      <c r="B54" s="36">
        <v>543807.98</v>
      </c>
      <c r="C54" s="36">
        <v>527650.93000000005</v>
      </c>
      <c r="D54" s="36">
        <v>499822.14</v>
      </c>
      <c r="E54" s="36">
        <v>546433.2699999999</v>
      </c>
      <c r="F54" s="36">
        <v>422852.33999999997</v>
      </c>
      <c r="G54" s="36">
        <v>502946.39999999997</v>
      </c>
      <c r="H54" s="36">
        <v>510718.01</v>
      </c>
      <c r="I54" s="36">
        <v>552483.19000000006</v>
      </c>
      <c r="J54" s="36">
        <v>672681.30999999994</v>
      </c>
      <c r="K54" s="50">
        <v>408402.76</v>
      </c>
      <c r="L54" s="36">
        <v>440631.78999999992</v>
      </c>
      <c r="M54" s="36">
        <v>522270.21</v>
      </c>
      <c r="N54" s="39"/>
      <c r="O54" s="36">
        <f>SUM(B54:M54)</f>
        <v>6150700.3300000001</v>
      </c>
      <c r="P54" s="36">
        <f>O54+4083578</f>
        <v>10234278.33</v>
      </c>
      <c r="Q54" s="38"/>
      <c r="R54" s="38"/>
      <c r="S54" s="38"/>
      <c r="T54" s="38"/>
      <c r="U54" s="32"/>
      <c r="V54" s="32"/>
      <c r="W54" s="32"/>
      <c r="X54" s="32"/>
    </row>
    <row r="55" spans="1:24" ht="15.75" customHeight="1" x14ac:dyDescent="0.25">
      <c r="A55" s="16" t="s">
        <v>6</v>
      </c>
      <c r="B55" s="36">
        <v>65256.97</v>
      </c>
      <c r="C55" s="36">
        <v>73871.13</v>
      </c>
      <c r="D55" s="36">
        <v>69975.09</v>
      </c>
      <c r="E55" s="36">
        <v>76500.66</v>
      </c>
      <c r="F55" s="36">
        <v>59199.330000000009</v>
      </c>
      <c r="G55" s="36">
        <v>70412.5</v>
      </c>
      <c r="H55" s="36">
        <v>71500.52</v>
      </c>
      <c r="I55" s="36">
        <v>77347.649999999994</v>
      </c>
      <c r="J55" s="36">
        <v>94175.39</v>
      </c>
      <c r="K55" s="50">
        <v>57176.39</v>
      </c>
      <c r="L55" s="36">
        <v>61688.450000000004</v>
      </c>
      <c r="M55" s="36">
        <v>73117.83</v>
      </c>
      <c r="N55" s="39"/>
      <c r="O55" s="36">
        <f>SUM(B55:M55)</f>
        <v>850221.90999999992</v>
      </c>
      <c r="P55" s="36">
        <f>O55+490029</f>
        <v>1340250.9099999999</v>
      </c>
      <c r="Q55" s="38"/>
      <c r="R55" s="38"/>
      <c r="S55" s="38"/>
      <c r="T55" s="38"/>
      <c r="U55" s="32"/>
      <c r="V55" s="32"/>
      <c r="W55" s="32"/>
      <c r="X55" s="32"/>
    </row>
    <row r="56" spans="1:24" ht="15.75" customHeight="1" x14ac:dyDescent="0.25">
      <c r="A56" s="22" t="s">
        <v>7</v>
      </c>
      <c r="B56" s="36">
        <v>10876.16</v>
      </c>
      <c r="C56" s="36">
        <v>10553.02</v>
      </c>
      <c r="D56" s="36">
        <v>9996.4500000000007</v>
      </c>
      <c r="E56" s="36">
        <v>10928.66</v>
      </c>
      <c r="F56" s="36">
        <v>8457.0500000000011</v>
      </c>
      <c r="G56" s="36">
        <v>10058.929999999998</v>
      </c>
      <c r="H56" s="36">
        <v>10214.36</v>
      </c>
      <c r="I56" s="36">
        <v>11049.67</v>
      </c>
      <c r="J56" s="36">
        <v>13453.62</v>
      </c>
      <c r="K56" s="50">
        <v>8168.0500000000011</v>
      </c>
      <c r="L56" s="36">
        <v>8812.630000000001</v>
      </c>
      <c r="M56" s="36">
        <v>10445.420000000002</v>
      </c>
      <c r="N56" s="39"/>
      <c r="O56" s="36">
        <f>SUM(B56:M56)</f>
        <v>123014.02</v>
      </c>
      <c r="P56" s="36">
        <f>O56+81672</f>
        <v>204686.02000000002</v>
      </c>
      <c r="Q56" s="38"/>
      <c r="R56" s="38"/>
      <c r="S56" s="38"/>
      <c r="T56" s="38"/>
      <c r="U56" s="32"/>
      <c r="V56" s="32"/>
      <c r="W56" s="32"/>
      <c r="X56" s="32"/>
    </row>
    <row r="57" spans="1:24" ht="15.75" customHeight="1" x14ac:dyDescent="0.25">
      <c r="A57" s="11"/>
      <c r="B57" s="36"/>
      <c r="C57" s="36"/>
      <c r="D57" s="36"/>
      <c r="E57" s="36"/>
      <c r="F57" s="36"/>
      <c r="G57" s="36"/>
      <c r="H57" s="32"/>
      <c r="I57" s="36"/>
      <c r="J57" s="36"/>
      <c r="K57" s="50"/>
      <c r="L57" s="36"/>
      <c r="M57" s="36"/>
      <c r="N57" s="31"/>
      <c r="O57" s="36"/>
      <c r="P57" s="36"/>
      <c r="Q57" s="32"/>
      <c r="R57" s="38"/>
      <c r="S57" s="38"/>
      <c r="T57" s="38"/>
      <c r="U57" s="32"/>
      <c r="V57" s="32"/>
      <c r="W57" s="32"/>
      <c r="X57" s="32"/>
    </row>
    <row r="58" spans="1:24" ht="15.75" customHeight="1" x14ac:dyDescent="0.25">
      <c r="A58" s="11" t="s">
        <v>14</v>
      </c>
      <c r="B58" s="36"/>
      <c r="C58" s="36"/>
      <c r="D58" s="36"/>
      <c r="E58" s="36"/>
      <c r="F58" s="36"/>
      <c r="G58" s="36"/>
      <c r="H58" s="32"/>
      <c r="I58" s="36"/>
      <c r="J58" s="36"/>
      <c r="K58" s="50"/>
      <c r="L58" s="36"/>
      <c r="M58" s="36"/>
      <c r="N58" s="39"/>
      <c r="O58" s="36"/>
      <c r="P58" s="36"/>
      <c r="Q58" s="32"/>
      <c r="R58" s="38"/>
      <c r="S58" s="38"/>
      <c r="T58" s="38"/>
      <c r="U58" s="32"/>
      <c r="V58" s="32"/>
      <c r="W58" s="32"/>
      <c r="X58" s="32"/>
    </row>
    <row r="59" spans="1:24" ht="15.75" customHeight="1" x14ac:dyDescent="0.25">
      <c r="A59" s="13" t="s">
        <v>4</v>
      </c>
      <c r="B59" s="33">
        <v>107</v>
      </c>
      <c r="C59" s="33">
        <v>107</v>
      </c>
      <c r="D59" s="33">
        <v>107</v>
      </c>
      <c r="E59" s="33">
        <v>107</v>
      </c>
      <c r="F59" s="33">
        <v>107</v>
      </c>
      <c r="G59" s="33">
        <v>107</v>
      </c>
      <c r="H59" s="33">
        <v>107</v>
      </c>
      <c r="I59" s="33">
        <v>112.4</v>
      </c>
      <c r="J59" s="33">
        <v>116.55999999999999</v>
      </c>
      <c r="K59" s="49">
        <v>117.32000000000001</v>
      </c>
      <c r="L59" s="33">
        <v>117.8</v>
      </c>
      <c r="M59" s="33">
        <v>117.84</v>
      </c>
      <c r="N59" s="20"/>
      <c r="O59" s="33"/>
      <c r="P59" s="33"/>
      <c r="Q59" s="32"/>
      <c r="R59" s="38"/>
      <c r="S59" s="38"/>
      <c r="T59" s="38"/>
      <c r="U59" s="32"/>
      <c r="V59" s="32"/>
      <c r="W59" s="32"/>
      <c r="X59" s="32"/>
    </row>
    <row r="60" spans="1:24" ht="15.75" customHeight="1" x14ac:dyDescent="0.25">
      <c r="A60" s="16" t="s">
        <v>5</v>
      </c>
      <c r="B60" s="36">
        <v>6030738.9699999997</v>
      </c>
      <c r="C60" s="36">
        <v>5757736.3500000006</v>
      </c>
      <c r="D60" s="36">
        <v>4330848.03</v>
      </c>
      <c r="E60" s="36">
        <v>5434645.370000001</v>
      </c>
      <c r="F60" s="36">
        <v>4735525.59</v>
      </c>
      <c r="G60" s="36">
        <v>5690999.6899999995</v>
      </c>
      <c r="H60" s="36">
        <v>5134342</v>
      </c>
      <c r="I60" s="36">
        <v>5399119.0899999999</v>
      </c>
      <c r="J60" s="36">
        <v>6446537.5500000007</v>
      </c>
      <c r="K60" s="50">
        <v>5050331.74</v>
      </c>
      <c r="L60" s="36">
        <v>6091326.0200000005</v>
      </c>
      <c r="M60" s="36">
        <v>5531639.7199999997</v>
      </c>
      <c r="N60" s="32"/>
      <c r="O60" s="36">
        <f>SUM(B60:M60)</f>
        <v>65633790.120000005</v>
      </c>
      <c r="P60" s="36">
        <f>O60+439825380</f>
        <v>505459170.12</v>
      </c>
      <c r="Q60" s="32"/>
      <c r="R60" s="38"/>
      <c r="S60" s="38"/>
      <c r="T60" s="38"/>
      <c r="U60" s="32"/>
      <c r="V60" s="32"/>
      <c r="W60" s="32"/>
      <c r="X60" s="32"/>
    </row>
    <row r="61" spans="1:24" ht="15.75" customHeight="1" x14ac:dyDescent="0.25">
      <c r="A61" s="16" t="s">
        <v>6</v>
      </c>
      <c r="B61" s="36">
        <v>766719.07000000007</v>
      </c>
      <c r="C61" s="36">
        <v>846673.99</v>
      </c>
      <c r="D61" s="36">
        <v>649338.56999999995</v>
      </c>
      <c r="E61" s="36">
        <v>798247.82</v>
      </c>
      <c r="F61" s="36">
        <v>717761.53</v>
      </c>
      <c r="G61" s="36">
        <v>817849.70000000007</v>
      </c>
      <c r="H61" s="36">
        <v>728697.46000000008</v>
      </c>
      <c r="I61" s="36">
        <v>783752.08</v>
      </c>
      <c r="J61" s="36">
        <v>933790.34000000008</v>
      </c>
      <c r="K61" s="50">
        <v>741690.89999999991</v>
      </c>
      <c r="L61" s="36">
        <v>875489.65</v>
      </c>
      <c r="M61" s="36">
        <v>806665.79999999993</v>
      </c>
      <c r="N61" s="43"/>
      <c r="O61" s="36">
        <f>SUM(B61:M61)</f>
        <v>9466676.9100000001</v>
      </c>
      <c r="P61" s="36">
        <f>O61+58466378</f>
        <v>67933054.909999996</v>
      </c>
      <c r="Q61" s="32"/>
      <c r="R61" s="38"/>
      <c r="S61" s="38"/>
      <c r="T61" s="38"/>
      <c r="U61" s="32"/>
      <c r="V61" s="32"/>
      <c r="W61" s="32"/>
      <c r="X61" s="32"/>
    </row>
    <row r="62" spans="1:24" ht="15.75" customHeight="1" x14ac:dyDescent="0.25">
      <c r="A62" s="16" t="s">
        <v>7</v>
      </c>
      <c r="B62" s="36">
        <v>120614.77</v>
      </c>
      <c r="C62" s="36">
        <v>115154.73000000003</v>
      </c>
      <c r="D62" s="36">
        <v>86616.97</v>
      </c>
      <c r="E62" s="36">
        <v>108692.91</v>
      </c>
      <c r="F62" s="36">
        <v>94710.510000000009</v>
      </c>
      <c r="G62" s="36">
        <v>113819.99</v>
      </c>
      <c r="H62" s="36">
        <v>102686.84999999999</v>
      </c>
      <c r="I62" s="36">
        <v>107982.38000000002</v>
      </c>
      <c r="J62" s="36">
        <v>128930.76</v>
      </c>
      <c r="K62" s="50">
        <v>101006.64000000001</v>
      </c>
      <c r="L62" s="36">
        <v>121826.52000000002</v>
      </c>
      <c r="M62" s="36">
        <v>110632.79999999999</v>
      </c>
      <c r="N62" s="37"/>
      <c r="O62" s="36">
        <f>SUM(B62:M62)</f>
        <v>1312675.83</v>
      </c>
      <c r="P62" s="36">
        <f>O62+8796508</f>
        <v>10109183.83</v>
      </c>
      <c r="Q62" s="32"/>
      <c r="R62" s="38"/>
      <c r="S62" s="38"/>
      <c r="T62" s="38"/>
      <c r="U62" s="32"/>
      <c r="V62" s="32"/>
      <c r="W62" s="32"/>
      <c r="X62" s="32"/>
    </row>
    <row r="63" spans="1:24" ht="15.75" customHeight="1" x14ac:dyDescent="0.25">
      <c r="A63" s="13" t="s">
        <v>8</v>
      </c>
      <c r="B63" s="33">
        <v>28</v>
      </c>
      <c r="C63" s="33">
        <v>28</v>
      </c>
      <c r="D63" s="33">
        <v>28</v>
      </c>
      <c r="E63" s="33">
        <v>28</v>
      </c>
      <c r="F63" s="33">
        <v>28</v>
      </c>
      <c r="G63" s="33">
        <v>28</v>
      </c>
      <c r="H63" s="33">
        <v>28</v>
      </c>
      <c r="I63" s="33">
        <v>28</v>
      </c>
      <c r="J63" s="33">
        <v>28</v>
      </c>
      <c r="K63" s="49">
        <v>28</v>
      </c>
      <c r="L63" s="33">
        <v>28</v>
      </c>
      <c r="M63" s="33">
        <v>28</v>
      </c>
      <c r="N63" s="39"/>
      <c r="O63" s="33"/>
      <c r="P63" s="33"/>
      <c r="Q63" s="32"/>
      <c r="R63" s="38"/>
      <c r="S63" s="38"/>
      <c r="T63" s="38"/>
      <c r="U63" s="32"/>
      <c r="V63" s="32"/>
      <c r="W63" s="32"/>
      <c r="X63" s="32"/>
    </row>
    <row r="64" spans="1:24" ht="15.75" customHeight="1" x14ac:dyDescent="0.25">
      <c r="A64" s="16" t="s">
        <v>5</v>
      </c>
      <c r="B64" s="36">
        <v>505311</v>
      </c>
      <c r="C64" s="36">
        <v>490220</v>
      </c>
      <c r="D64" s="36">
        <v>462938</v>
      </c>
      <c r="E64" s="36">
        <v>424691</v>
      </c>
      <c r="F64" s="36">
        <v>414286</v>
      </c>
      <c r="G64" s="36">
        <v>450508</v>
      </c>
      <c r="H64" s="36">
        <v>401512</v>
      </c>
      <c r="I64" s="36">
        <v>393367</v>
      </c>
      <c r="J64" s="36">
        <v>470328</v>
      </c>
      <c r="K64" s="50">
        <v>461552</v>
      </c>
      <c r="L64" s="36">
        <v>445220.01</v>
      </c>
      <c r="M64" s="36">
        <v>395702</v>
      </c>
      <c r="N64" s="39"/>
      <c r="O64" s="36">
        <f>SUM(B64:M64)</f>
        <v>5315635.01</v>
      </c>
      <c r="P64" s="36">
        <f>O64+51965729</f>
        <v>57281364.009999998</v>
      </c>
      <c r="Q64" s="32"/>
      <c r="R64" s="38"/>
      <c r="S64" s="38"/>
      <c r="T64" s="38"/>
      <c r="U64" s="32"/>
      <c r="V64" s="32"/>
      <c r="W64" s="32"/>
      <c r="X64" s="32"/>
    </row>
    <row r="65" spans="1:24" ht="15.75" customHeight="1" x14ac:dyDescent="0.25">
      <c r="A65" s="16" t="s">
        <v>6</v>
      </c>
      <c r="B65" s="36">
        <v>60637.32</v>
      </c>
      <c r="C65" s="36">
        <v>68630.799999999988</v>
      </c>
      <c r="D65" s="36">
        <v>64811.319999999992</v>
      </c>
      <c r="E65" s="36">
        <v>59456.74</v>
      </c>
      <c r="F65" s="36">
        <v>58000.04</v>
      </c>
      <c r="G65" s="36">
        <v>63071.12</v>
      </c>
      <c r="H65" s="36">
        <v>56211.68</v>
      </c>
      <c r="I65" s="36">
        <v>55071.380000000005</v>
      </c>
      <c r="J65" s="36">
        <v>65845.919999999998</v>
      </c>
      <c r="K65" s="50">
        <v>64617.280000000006</v>
      </c>
      <c r="L65" s="36">
        <v>62330.8</v>
      </c>
      <c r="M65" s="36">
        <v>55398.280000000006</v>
      </c>
      <c r="N65" s="31"/>
      <c r="O65" s="36">
        <f>SUM(B65:M65)</f>
        <v>734082.68</v>
      </c>
      <c r="P65" s="36">
        <f>O65+6632896</f>
        <v>7366978.6799999997</v>
      </c>
      <c r="Q65" s="32"/>
      <c r="R65" s="38"/>
      <c r="S65" s="38"/>
      <c r="T65" s="38"/>
      <c r="U65" s="32"/>
      <c r="V65" s="32"/>
      <c r="W65" s="32"/>
      <c r="X65" s="32"/>
    </row>
    <row r="66" spans="1:24" ht="15.75" customHeight="1" x14ac:dyDescent="0.25">
      <c r="A66" s="16" t="s">
        <v>7</v>
      </c>
      <c r="B66" s="36">
        <v>10106.219999999999</v>
      </c>
      <c r="C66" s="36">
        <v>9804.4</v>
      </c>
      <c r="D66" s="36">
        <v>9258.76</v>
      </c>
      <c r="E66" s="36">
        <v>8493.82</v>
      </c>
      <c r="F66" s="36">
        <v>8285.7199999999993</v>
      </c>
      <c r="G66" s="36">
        <v>9010.16</v>
      </c>
      <c r="H66" s="36">
        <v>8030.24</v>
      </c>
      <c r="I66" s="36">
        <v>7867.34</v>
      </c>
      <c r="J66" s="36">
        <v>9406.5600000000013</v>
      </c>
      <c r="K66" s="50">
        <v>9231.0400000000009</v>
      </c>
      <c r="L66" s="36">
        <v>8904.4</v>
      </c>
      <c r="M66" s="36">
        <v>7914.04</v>
      </c>
      <c r="N66" s="40"/>
      <c r="O66" s="36">
        <f>SUM(B66:M66)</f>
        <v>106312.7</v>
      </c>
      <c r="P66" s="36">
        <f>O66+1039315</f>
        <v>1145627.7</v>
      </c>
      <c r="Q66" s="32"/>
      <c r="R66" s="38"/>
      <c r="S66" s="38"/>
      <c r="T66" s="38"/>
      <c r="U66" s="32"/>
      <c r="V66" s="32"/>
      <c r="W66" s="32"/>
      <c r="X66" s="32"/>
    </row>
    <row r="67" spans="1:24" ht="15.75" customHeight="1" x14ac:dyDescent="0.25">
      <c r="A67" s="13" t="s">
        <v>9</v>
      </c>
      <c r="B67" s="33">
        <v>73</v>
      </c>
      <c r="C67" s="33">
        <v>73</v>
      </c>
      <c r="D67" s="33">
        <v>73</v>
      </c>
      <c r="E67" s="33">
        <v>73</v>
      </c>
      <c r="F67" s="33">
        <v>73</v>
      </c>
      <c r="G67" s="33">
        <v>73</v>
      </c>
      <c r="H67" s="33">
        <v>73</v>
      </c>
      <c r="I67" s="33">
        <v>78.400000000000006</v>
      </c>
      <c r="J67" s="33">
        <v>82</v>
      </c>
      <c r="K67" s="49">
        <v>82.4</v>
      </c>
      <c r="L67" s="33">
        <v>83</v>
      </c>
      <c r="M67" s="33">
        <v>83</v>
      </c>
      <c r="N67" s="31"/>
      <c r="O67" s="33"/>
      <c r="P67" s="33"/>
      <c r="Q67" s="32"/>
      <c r="R67" s="38"/>
      <c r="S67" s="38"/>
      <c r="T67" s="38"/>
      <c r="U67" s="32"/>
      <c r="V67" s="32"/>
      <c r="W67" s="32"/>
      <c r="X67" s="32"/>
    </row>
    <row r="68" spans="1:24" ht="15.75" customHeight="1" x14ac:dyDescent="0.25">
      <c r="A68" s="16" t="s">
        <v>5</v>
      </c>
      <c r="B68" s="36">
        <v>5304847.47</v>
      </c>
      <c r="C68" s="36">
        <v>5042191.0599999996</v>
      </c>
      <c r="D68" s="36">
        <v>3696576.4799999995</v>
      </c>
      <c r="E68" s="36">
        <v>4844475.04</v>
      </c>
      <c r="F68" s="36">
        <v>4151631.02</v>
      </c>
      <c r="G68" s="36">
        <v>5123995.3900000006</v>
      </c>
      <c r="H68" s="36">
        <v>4757692.84</v>
      </c>
      <c r="I68" s="36">
        <v>4881059.28</v>
      </c>
      <c r="J68" s="36">
        <v>5765468</v>
      </c>
      <c r="K68" s="50">
        <v>4400351.8900000006</v>
      </c>
      <c r="L68" s="36">
        <v>5508751.1400000006</v>
      </c>
      <c r="M68" s="36">
        <v>4965240.5999999996</v>
      </c>
      <c r="N68" s="40"/>
      <c r="O68" s="36">
        <f t="shared" ref="O68:O74" si="2">SUM(B68:M68)</f>
        <v>58442280.210000001</v>
      </c>
      <c r="P68" s="36">
        <f>O68+379733504</f>
        <v>438175784.20999998</v>
      </c>
      <c r="Q68" s="32"/>
      <c r="R68" s="38"/>
      <c r="S68" s="38"/>
      <c r="T68" s="38"/>
      <c r="U68" s="32"/>
      <c r="V68" s="32"/>
      <c r="W68" s="32"/>
      <c r="X68" s="32"/>
    </row>
    <row r="69" spans="1:24" ht="15.75" customHeight="1" x14ac:dyDescent="0.25">
      <c r="A69" s="16" t="s">
        <v>6</v>
      </c>
      <c r="B69" s="36">
        <v>636581.69999999995</v>
      </c>
      <c r="C69" s="36">
        <v>705906.75</v>
      </c>
      <c r="D69" s="36">
        <v>517520.69999999995</v>
      </c>
      <c r="E69" s="36">
        <v>678226.50999999989</v>
      </c>
      <c r="F69" s="36">
        <v>581228.34000000008</v>
      </c>
      <c r="G69" s="36">
        <v>717359.35</v>
      </c>
      <c r="H69" s="36">
        <v>666076.99000000011</v>
      </c>
      <c r="I69" s="36">
        <v>683348.29</v>
      </c>
      <c r="J69" s="36">
        <v>807165.53</v>
      </c>
      <c r="K69" s="50">
        <v>616049.26</v>
      </c>
      <c r="L69" s="36">
        <v>771225.16</v>
      </c>
      <c r="M69" s="36">
        <v>695133.68</v>
      </c>
      <c r="N69" s="31"/>
      <c r="O69" s="36">
        <f t="shared" si="2"/>
        <v>8075822.2599999998</v>
      </c>
      <c r="P69" s="36">
        <f>O69+48257045</f>
        <v>56332867.259999998</v>
      </c>
      <c r="Q69" s="32"/>
      <c r="R69" s="38"/>
      <c r="S69" s="38"/>
      <c r="T69" s="38"/>
      <c r="U69" s="32"/>
      <c r="V69" s="32"/>
      <c r="W69" s="32"/>
      <c r="X69" s="32"/>
    </row>
    <row r="70" spans="1:24" ht="15.75" customHeight="1" x14ac:dyDescent="0.25">
      <c r="A70" s="16" t="s">
        <v>7</v>
      </c>
      <c r="B70" s="36">
        <v>106096.94</v>
      </c>
      <c r="C70" s="36">
        <v>100843.82999999999</v>
      </c>
      <c r="D70" s="36">
        <v>73931.53</v>
      </c>
      <c r="E70" s="36">
        <v>96889.5</v>
      </c>
      <c r="F70" s="36">
        <v>83032.62</v>
      </c>
      <c r="G70" s="36">
        <v>102479.90000000001</v>
      </c>
      <c r="H70" s="36">
        <v>95153.859999999986</v>
      </c>
      <c r="I70" s="36">
        <v>97621.180000000008</v>
      </c>
      <c r="J70" s="36">
        <v>115309.35999999999</v>
      </c>
      <c r="K70" s="50">
        <v>88007.039999999994</v>
      </c>
      <c r="L70" s="36">
        <v>110175.01999999999</v>
      </c>
      <c r="M70" s="36">
        <v>99304.81</v>
      </c>
      <c r="N70" s="20"/>
      <c r="O70" s="36">
        <f t="shared" si="2"/>
        <v>1168845.5900000001</v>
      </c>
      <c r="P70" s="36">
        <f>O70+7594671</f>
        <v>8763516.5899999999</v>
      </c>
      <c r="Q70" s="32"/>
      <c r="R70" s="38"/>
      <c r="S70" s="38"/>
      <c r="T70" s="38"/>
      <c r="U70" s="32"/>
      <c r="V70" s="32"/>
      <c r="W70" s="32"/>
      <c r="X70" s="32"/>
    </row>
    <row r="71" spans="1:24" ht="15.75" customHeight="1" x14ac:dyDescent="0.25">
      <c r="A71" s="13" t="s">
        <v>10</v>
      </c>
      <c r="B71" s="33">
        <v>0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49" t="s">
        <v>43</v>
      </c>
      <c r="L71" s="49" t="s">
        <v>43</v>
      </c>
      <c r="M71" s="33">
        <v>0</v>
      </c>
      <c r="N71" s="31"/>
      <c r="O71" s="33"/>
      <c r="P71" s="33"/>
      <c r="Q71" s="32"/>
      <c r="R71" s="38"/>
      <c r="S71" s="38"/>
      <c r="T71" s="38"/>
      <c r="U71" s="32"/>
      <c r="V71" s="32"/>
      <c r="W71" s="32"/>
      <c r="X71" s="32"/>
    </row>
    <row r="72" spans="1:24" ht="15.75" customHeight="1" x14ac:dyDescent="0.25">
      <c r="A72" s="16" t="s">
        <v>5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50">
        <v>0</v>
      </c>
      <c r="L72" s="36">
        <v>0</v>
      </c>
      <c r="M72" s="36">
        <v>0</v>
      </c>
      <c r="N72" s="39"/>
      <c r="O72" s="36">
        <f t="shared" si="2"/>
        <v>0</v>
      </c>
      <c r="P72" s="36">
        <f>O72</f>
        <v>0</v>
      </c>
      <c r="Q72" s="32"/>
      <c r="R72" s="38"/>
      <c r="S72" s="38"/>
      <c r="T72" s="38"/>
      <c r="U72" s="32"/>
      <c r="V72" s="32"/>
      <c r="W72" s="32"/>
      <c r="X72" s="32"/>
    </row>
    <row r="73" spans="1:24" ht="15.75" customHeight="1" x14ac:dyDescent="0.25">
      <c r="A73" s="16" t="s">
        <v>6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50">
        <v>0</v>
      </c>
      <c r="L73" s="36">
        <v>0</v>
      </c>
      <c r="M73" s="36">
        <v>0</v>
      </c>
      <c r="N73" s="23"/>
      <c r="O73" s="36">
        <f t="shared" si="2"/>
        <v>0</v>
      </c>
      <c r="P73" s="36">
        <f>O73</f>
        <v>0</v>
      </c>
      <c r="Q73" s="32"/>
      <c r="R73" s="38"/>
      <c r="S73" s="38"/>
      <c r="T73" s="38"/>
      <c r="U73" s="32"/>
      <c r="V73" s="32"/>
      <c r="W73" s="32"/>
      <c r="X73" s="32"/>
    </row>
    <row r="74" spans="1:24" ht="15.75" customHeight="1" x14ac:dyDescent="0.25">
      <c r="A74" s="16" t="s">
        <v>7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50">
        <v>0</v>
      </c>
      <c r="L74" s="36">
        <v>0</v>
      </c>
      <c r="M74" s="36">
        <v>0</v>
      </c>
      <c r="N74" s="40"/>
      <c r="O74" s="36">
        <f t="shared" si="2"/>
        <v>0</v>
      </c>
      <c r="P74" s="36">
        <f>O74</f>
        <v>0</v>
      </c>
      <c r="Q74" s="32"/>
      <c r="R74" s="38"/>
      <c r="S74" s="38"/>
      <c r="T74" s="38"/>
      <c r="U74" s="32"/>
      <c r="V74" s="32"/>
      <c r="W74" s="32"/>
      <c r="X74" s="32"/>
    </row>
    <row r="75" spans="1:24" ht="15.75" customHeight="1" x14ac:dyDescent="0.25">
      <c r="A75" s="13" t="s">
        <v>45</v>
      </c>
      <c r="B75" s="33">
        <v>4</v>
      </c>
      <c r="C75" s="33">
        <v>4</v>
      </c>
      <c r="D75" s="33">
        <v>4</v>
      </c>
      <c r="E75" s="33">
        <v>4</v>
      </c>
      <c r="F75" s="33">
        <v>4</v>
      </c>
      <c r="G75" s="33">
        <v>4</v>
      </c>
      <c r="H75" s="33">
        <v>4</v>
      </c>
      <c r="I75" s="33">
        <v>4</v>
      </c>
      <c r="J75" s="33">
        <v>4</v>
      </c>
      <c r="K75" s="49">
        <v>2</v>
      </c>
      <c r="L75" s="33">
        <v>2</v>
      </c>
      <c r="M75" s="33">
        <v>2</v>
      </c>
      <c r="N75" s="43"/>
      <c r="O75" s="33"/>
      <c r="P75" s="33"/>
      <c r="Q75" s="32"/>
      <c r="R75" s="38"/>
      <c r="S75" s="38"/>
      <c r="T75" s="38"/>
      <c r="U75" s="32"/>
      <c r="V75" s="32"/>
      <c r="W75" s="32"/>
      <c r="X75" s="32"/>
    </row>
    <row r="76" spans="1:24" ht="15.75" customHeight="1" x14ac:dyDescent="0.25">
      <c r="A76" s="16" t="s">
        <v>5</v>
      </c>
      <c r="B76" s="36">
        <v>126560</v>
      </c>
      <c r="C76" s="36">
        <v>119385</v>
      </c>
      <c r="D76" s="36">
        <v>126529</v>
      </c>
      <c r="E76" s="36">
        <v>109992.5</v>
      </c>
      <c r="F76" s="36">
        <v>161141</v>
      </c>
      <c r="G76" s="36">
        <v>62087.5</v>
      </c>
      <c r="H76" s="36">
        <v>29087</v>
      </c>
      <c r="I76" s="36">
        <v>81986.5</v>
      </c>
      <c r="J76" s="36">
        <v>91985.5</v>
      </c>
      <c r="K76" s="50">
        <v>101895.5</v>
      </c>
      <c r="L76" s="36">
        <v>66776.5</v>
      </c>
      <c r="M76" s="36">
        <v>94812.5</v>
      </c>
      <c r="N76" s="37"/>
      <c r="O76" s="36">
        <f>SUM(B76:M76)</f>
        <v>1172238.5</v>
      </c>
      <c r="P76" s="36">
        <f>O76+7607687</f>
        <v>8779925.5</v>
      </c>
      <c r="Q76" s="32"/>
      <c r="R76" s="38"/>
      <c r="S76" s="38"/>
      <c r="T76" s="38"/>
      <c r="U76" s="32"/>
      <c r="V76" s="32"/>
      <c r="W76" s="32"/>
      <c r="X76" s="32"/>
    </row>
    <row r="77" spans="1:24" ht="15.75" customHeight="1" x14ac:dyDescent="0.25">
      <c r="A77" s="16" t="s">
        <v>6</v>
      </c>
      <c r="B77" s="36">
        <v>58217.600000000006</v>
      </c>
      <c r="C77" s="36">
        <v>57304.799999999996</v>
      </c>
      <c r="D77" s="36">
        <v>60733.919999999998</v>
      </c>
      <c r="E77" s="36">
        <v>52796.4</v>
      </c>
      <c r="F77" s="36">
        <v>77347.679999999993</v>
      </c>
      <c r="G77" s="36">
        <v>29802</v>
      </c>
      <c r="H77" s="36">
        <v>13961.759999999998</v>
      </c>
      <c r="I77" s="36">
        <v>39353.519999999997</v>
      </c>
      <c r="J77" s="36">
        <v>44153.04</v>
      </c>
      <c r="K77" s="50">
        <v>48909.84</v>
      </c>
      <c r="L77" s="36">
        <v>32052.719999999998</v>
      </c>
      <c r="M77" s="36">
        <v>45510.000000000007</v>
      </c>
      <c r="N77" s="39"/>
      <c r="O77" s="36">
        <f>SUM(B77:M77)</f>
        <v>560143.28</v>
      </c>
      <c r="P77" s="36">
        <f>O77+3514221</f>
        <v>4074364.2800000003</v>
      </c>
      <c r="Q77" s="32"/>
      <c r="R77" s="38"/>
      <c r="S77" s="38"/>
      <c r="T77" s="38"/>
      <c r="U77" s="32"/>
      <c r="V77" s="32"/>
      <c r="W77" s="32"/>
      <c r="X77" s="32"/>
    </row>
    <row r="78" spans="1:24" ht="15.75" customHeight="1" x14ac:dyDescent="0.25">
      <c r="A78" s="16" t="s">
        <v>7</v>
      </c>
      <c r="B78" s="36">
        <v>2531.1999999999998</v>
      </c>
      <c r="C78" s="36">
        <v>2387.6999999999998</v>
      </c>
      <c r="D78" s="36">
        <v>2530.58</v>
      </c>
      <c r="E78" s="36">
        <v>2199.85</v>
      </c>
      <c r="F78" s="36">
        <v>3222.8199999999997</v>
      </c>
      <c r="G78" s="36">
        <v>1241.75</v>
      </c>
      <c r="H78" s="36">
        <v>581.74</v>
      </c>
      <c r="I78" s="36">
        <v>1639.73</v>
      </c>
      <c r="J78" s="36">
        <v>1839.71</v>
      </c>
      <c r="K78" s="50">
        <v>2037.9099999999999</v>
      </c>
      <c r="L78" s="36">
        <v>1335.53</v>
      </c>
      <c r="M78" s="36">
        <v>1896.2500000000002</v>
      </c>
      <c r="N78" s="39"/>
      <c r="O78" s="36">
        <f>SUM(B78:M78)</f>
        <v>23444.769999999997</v>
      </c>
      <c r="P78" s="36">
        <f>O78+152154</f>
        <v>175598.77</v>
      </c>
      <c r="Q78" s="32"/>
      <c r="R78" s="38"/>
      <c r="S78" s="38"/>
      <c r="T78" s="38"/>
      <c r="U78" s="32"/>
      <c r="V78" s="32"/>
      <c r="W78" s="32"/>
      <c r="X78" s="32"/>
    </row>
    <row r="79" spans="1:24" ht="15.75" customHeight="1" x14ac:dyDescent="0.25">
      <c r="A79" s="21" t="s">
        <v>11</v>
      </c>
      <c r="B79" s="33">
        <v>2</v>
      </c>
      <c r="C79" s="33">
        <v>2</v>
      </c>
      <c r="D79" s="33">
        <v>2</v>
      </c>
      <c r="E79" s="33">
        <v>2</v>
      </c>
      <c r="F79" s="33">
        <v>2</v>
      </c>
      <c r="G79" s="33">
        <v>2</v>
      </c>
      <c r="H79" s="33">
        <v>2</v>
      </c>
      <c r="I79" s="33">
        <v>2</v>
      </c>
      <c r="J79" s="33">
        <v>2.56</v>
      </c>
      <c r="K79" s="49">
        <v>4.92</v>
      </c>
      <c r="L79" s="33">
        <v>4.8</v>
      </c>
      <c r="M79" s="33">
        <v>5</v>
      </c>
      <c r="N79" s="39"/>
      <c r="O79" s="36"/>
      <c r="P79" s="36"/>
      <c r="Q79" s="32"/>
      <c r="R79" s="38"/>
      <c r="S79" s="38"/>
      <c r="T79" s="38"/>
      <c r="U79" s="32"/>
      <c r="V79" s="32"/>
      <c r="W79" s="32"/>
      <c r="X79" s="32"/>
    </row>
    <row r="80" spans="1:24" ht="15.75" customHeight="1" x14ac:dyDescent="0.25">
      <c r="A80" s="22" t="s">
        <v>5</v>
      </c>
      <c r="B80" s="36">
        <v>94020.5</v>
      </c>
      <c r="C80" s="36">
        <v>105940.29000000001</v>
      </c>
      <c r="D80" s="36">
        <v>44804.549999999996</v>
      </c>
      <c r="E80" s="36">
        <v>55486.83</v>
      </c>
      <c r="F80" s="36">
        <v>8467.5699999999979</v>
      </c>
      <c r="G80" s="36">
        <v>54408.799999999996</v>
      </c>
      <c r="H80" s="44">
        <v>-53949.84</v>
      </c>
      <c r="I80" s="36">
        <v>42706.31</v>
      </c>
      <c r="J80" s="36">
        <v>118756.05</v>
      </c>
      <c r="K80" s="50">
        <v>86532.349999999991</v>
      </c>
      <c r="L80" s="36">
        <v>70578.37</v>
      </c>
      <c r="M80" s="36">
        <v>75884.62</v>
      </c>
      <c r="N80" s="39"/>
      <c r="O80" s="36">
        <f>SUM(B80:M80)</f>
        <v>703636.39999999991</v>
      </c>
      <c r="P80" s="36">
        <f>O80+518461</f>
        <v>1222097.3999999999</v>
      </c>
      <c r="Q80" s="38"/>
      <c r="R80" s="38"/>
      <c r="S80" s="38"/>
      <c r="T80" s="38"/>
      <c r="U80" s="32"/>
      <c r="V80" s="32"/>
      <c r="W80" s="32"/>
      <c r="X80" s="32"/>
    </row>
    <row r="81" spans="1:24" ht="15.75" customHeight="1" x14ac:dyDescent="0.25">
      <c r="A81" s="16" t="s">
        <v>6</v>
      </c>
      <c r="B81" s="36">
        <v>11282.45</v>
      </c>
      <c r="C81" s="36">
        <v>14831.640000000001</v>
      </c>
      <c r="D81" s="36">
        <v>6272.63</v>
      </c>
      <c r="E81" s="36">
        <v>7768.17</v>
      </c>
      <c r="F81" s="36">
        <v>1185.47</v>
      </c>
      <c r="G81" s="36">
        <v>7617.23</v>
      </c>
      <c r="H81" s="44">
        <v>-7552.9700000000012</v>
      </c>
      <c r="I81" s="36">
        <v>5978.8899999999994</v>
      </c>
      <c r="J81" s="36">
        <v>16625.850000000002</v>
      </c>
      <c r="K81" s="50">
        <v>12114.52</v>
      </c>
      <c r="L81" s="36">
        <v>9880.9699999999993</v>
      </c>
      <c r="M81" s="36">
        <v>10623.84</v>
      </c>
      <c r="N81" s="39"/>
      <c r="O81" s="36">
        <f>SUM(B81:M81)</f>
        <v>96628.690000000017</v>
      </c>
      <c r="P81" s="36">
        <f>O81+62215</f>
        <v>158843.69</v>
      </c>
      <c r="Q81" s="38"/>
      <c r="R81" s="38"/>
      <c r="S81" s="38"/>
      <c r="T81" s="38"/>
      <c r="U81" s="32"/>
      <c r="V81" s="32"/>
      <c r="W81" s="32"/>
      <c r="X81" s="32"/>
    </row>
    <row r="82" spans="1:24" ht="15.75" customHeight="1" x14ac:dyDescent="0.25">
      <c r="A82" s="22" t="s">
        <v>7</v>
      </c>
      <c r="B82" s="36">
        <v>1880.41</v>
      </c>
      <c r="C82" s="36">
        <v>2118.8000000000002</v>
      </c>
      <c r="D82" s="36">
        <v>896.1</v>
      </c>
      <c r="E82" s="36">
        <v>1109.74</v>
      </c>
      <c r="F82" s="36">
        <v>169.35000000000002</v>
      </c>
      <c r="G82" s="36">
        <v>1088.18</v>
      </c>
      <c r="H82" s="44">
        <v>-1078.99</v>
      </c>
      <c r="I82" s="36">
        <v>854.13000000000011</v>
      </c>
      <c r="J82" s="36">
        <v>2375.1299999999997</v>
      </c>
      <c r="K82" s="50">
        <v>1730.6499999999999</v>
      </c>
      <c r="L82" s="36">
        <v>1411.5700000000002</v>
      </c>
      <c r="M82" s="36">
        <v>1517.7</v>
      </c>
      <c r="N82" s="39"/>
      <c r="O82" s="36">
        <f>SUM(B82:M82)</f>
        <v>14072.77</v>
      </c>
      <c r="P82" s="36">
        <f>O82+10369</f>
        <v>24441.77</v>
      </c>
      <c r="Q82" s="38"/>
      <c r="R82" s="38"/>
      <c r="S82" s="38"/>
      <c r="T82" s="38"/>
      <c r="U82" s="32"/>
      <c r="V82" s="32"/>
      <c r="W82" s="32"/>
      <c r="X82" s="32"/>
    </row>
    <row r="83" spans="1:24" ht="15.75" customHeight="1" x14ac:dyDescent="0.25">
      <c r="B83" s="36"/>
      <c r="C83" s="36"/>
      <c r="D83" s="36"/>
      <c r="E83" s="36"/>
      <c r="F83" s="36"/>
      <c r="G83" s="36"/>
      <c r="H83" s="32"/>
      <c r="I83" s="36"/>
      <c r="J83" s="36"/>
      <c r="K83" s="50"/>
      <c r="L83" s="36"/>
      <c r="M83" s="36"/>
      <c r="N83" s="39"/>
      <c r="O83" s="36"/>
      <c r="P83" s="36"/>
      <c r="Q83" s="32"/>
      <c r="R83" s="38"/>
      <c r="S83" s="38"/>
      <c r="T83" s="38"/>
      <c r="U83" s="32"/>
      <c r="V83" s="32"/>
      <c r="W83" s="32"/>
      <c r="X83" s="32"/>
    </row>
    <row r="84" spans="1:24" ht="15.75" customHeight="1" x14ac:dyDescent="0.25">
      <c r="A84" s="11" t="s">
        <v>15</v>
      </c>
      <c r="B84" s="36"/>
      <c r="C84" s="36"/>
      <c r="D84" s="36"/>
      <c r="E84" s="36"/>
      <c r="F84" s="36"/>
      <c r="G84" s="36"/>
      <c r="H84" s="32"/>
      <c r="I84" s="36"/>
      <c r="J84" s="36"/>
      <c r="K84" s="50"/>
      <c r="L84" s="36"/>
      <c r="M84" s="36"/>
      <c r="N84" s="39"/>
      <c r="O84" s="36"/>
      <c r="P84" s="36"/>
      <c r="Q84" s="32"/>
      <c r="R84" s="38"/>
      <c r="S84" s="38"/>
      <c r="T84" s="38"/>
      <c r="U84" s="32"/>
      <c r="V84" s="32"/>
      <c r="W84" s="32"/>
      <c r="X84" s="32"/>
    </row>
    <row r="85" spans="1:24" ht="15.75" customHeight="1" x14ac:dyDescent="0.25">
      <c r="A85" s="13" t="s">
        <v>4</v>
      </c>
      <c r="B85" s="33">
        <v>40</v>
      </c>
      <c r="C85" s="33">
        <v>40</v>
      </c>
      <c r="D85" s="33">
        <v>39.799999999999997</v>
      </c>
      <c r="E85" s="33">
        <v>40</v>
      </c>
      <c r="F85" s="33">
        <v>40</v>
      </c>
      <c r="G85" s="33">
        <v>39.6</v>
      </c>
      <c r="H85" s="33">
        <v>39</v>
      </c>
      <c r="I85" s="33">
        <v>39</v>
      </c>
      <c r="J85" s="33">
        <v>39</v>
      </c>
      <c r="K85" s="49">
        <v>39</v>
      </c>
      <c r="L85" s="33">
        <v>38.4</v>
      </c>
      <c r="M85" s="33">
        <v>37.799999999999997</v>
      </c>
      <c r="N85" s="31"/>
      <c r="O85" s="33"/>
      <c r="P85" s="33"/>
      <c r="Q85" s="32"/>
      <c r="R85" s="38"/>
      <c r="S85" s="38"/>
      <c r="T85" s="38"/>
      <c r="U85" s="32"/>
      <c r="V85" s="32"/>
      <c r="W85" s="32"/>
      <c r="X85" s="32"/>
    </row>
    <row r="86" spans="1:24" ht="15.75" customHeight="1" x14ac:dyDescent="0.25">
      <c r="A86" s="16" t="s">
        <v>5</v>
      </c>
      <c r="B86" s="36">
        <v>1242125.25</v>
      </c>
      <c r="C86" s="36">
        <v>1167941.0299999998</v>
      </c>
      <c r="D86" s="36">
        <v>1648283</v>
      </c>
      <c r="E86" s="36">
        <v>1051801.46</v>
      </c>
      <c r="F86" s="36">
        <v>1110985.3500000001</v>
      </c>
      <c r="G86" s="36">
        <v>1010490.1200000001</v>
      </c>
      <c r="H86" s="36">
        <v>1155894.53</v>
      </c>
      <c r="I86" s="36">
        <v>1196822.48</v>
      </c>
      <c r="J86" s="36">
        <v>1218793.8800000001</v>
      </c>
      <c r="K86" s="50">
        <v>1507980.53</v>
      </c>
      <c r="L86" s="36">
        <v>1403944.66</v>
      </c>
      <c r="M86" s="36">
        <v>1341612.1000000001</v>
      </c>
      <c r="N86" s="40"/>
      <c r="O86" s="36">
        <f>SUM(B86:M86)</f>
        <v>15056674.390000001</v>
      </c>
      <c r="P86" s="36">
        <f>O86+96792932</f>
        <v>111849606.39</v>
      </c>
      <c r="Q86" s="32"/>
      <c r="R86" s="38"/>
      <c r="S86" s="38"/>
      <c r="T86" s="38"/>
      <c r="U86" s="32"/>
      <c r="V86" s="32"/>
      <c r="W86" s="32"/>
      <c r="X86" s="32"/>
    </row>
    <row r="87" spans="1:24" ht="15.75" customHeight="1" x14ac:dyDescent="0.25">
      <c r="A87" s="16" t="s">
        <v>6</v>
      </c>
      <c r="B87" s="36">
        <v>173566.48</v>
      </c>
      <c r="C87" s="36">
        <v>181613.35</v>
      </c>
      <c r="D87" s="36">
        <v>246620.12</v>
      </c>
      <c r="E87" s="36">
        <v>159542.19</v>
      </c>
      <c r="F87" s="36">
        <v>171981.72000000003</v>
      </c>
      <c r="G87" s="36">
        <v>150671.06</v>
      </c>
      <c r="H87" s="36">
        <v>161825.24999999997</v>
      </c>
      <c r="I87" s="36">
        <v>167555.15999999997</v>
      </c>
      <c r="J87" s="36">
        <v>170631.16</v>
      </c>
      <c r="K87" s="50">
        <v>211117.28000000003</v>
      </c>
      <c r="L87" s="36">
        <v>196552.27</v>
      </c>
      <c r="M87" s="36">
        <v>187825.71</v>
      </c>
      <c r="N87" s="31"/>
      <c r="O87" s="36">
        <f>SUM(B87:M87)</f>
        <v>2179501.75</v>
      </c>
      <c r="P87" s="36">
        <f>O87+12773023</f>
        <v>14952524.75</v>
      </c>
      <c r="Q87" s="32"/>
      <c r="R87" s="38"/>
      <c r="S87" s="38"/>
      <c r="T87" s="38"/>
      <c r="U87" s="32"/>
      <c r="V87" s="32"/>
      <c r="W87" s="32"/>
      <c r="X87" s="32"/>
    </row>
    <row r="88" spans="1:24" ht="15.75" customHeight="1" x14ac:dyDescent="0.25">
      <c r="A88" s="16" t="s">
        <v>7</v>
      </c>
      <c r="B88" s="36">
        <v>24842.52</v>
      </c>
      <c r="C88" s="36">
        <v>23358.83</v>
      </c>
      <c r="D88" s="36">
        <v>32965.660000000003</v>
      </c>
      <c r="E88" s="36">
        <v>21036.03</v>
      </c>
      <c r="F88" s="36">
        <v>22219.710000000003</v>
      </c>
      <c r="G88" s="36">
        <v>20209.819999999996</v>
      </c>
      <c r="H88" s="36">
        <v>23117.91</v>
      </c>
      <c r="I88" s="36">
        <v>23936.460000000003</v>
      </c>
      <c r="J88" s="36">
        <v>24375.89</v>
      </c>
      <c r="K88" s="50">
        <v>30159.620000000003</v>
      </c>
      <c r="L88" s="36">
        <v>28078.909999999996</v>
      </c>
      <c r="M88" s="36">
        <v>26832.260000000002</v>
      </c>
      <c r="N88" s="40"/>
      <c r="O88" s="36">
        <f>SUM(B88:M88)</f>
        <v>301133.62</v>
      </c>
      <c r="P88" s="36">
        <f>O88+1935859</f>
        <v>2236992.62</v>
      </c>
      <c r="Q88" s="32"/>
      <c r="R88" s="38"/>
      <c r="S88" s="38"/>
      <c r="T88" s="38"/>
      <c r="U88" s="32"/>
      <c r="V88" s="32"/>
      <c r="W88" s="32"/>
      <c r="X88" s="32"/>
    </row>
    <row r="89" spans="1:24" ht="15.75" customHeight="1" x14ac:dyDescent="0.25">
      <c r="A89" s="13" t="s">
        <v>8</v>
      </c>
      <c r="B89" s="33">
        <v>7</v>
      </c>
      <c r="C89" s="33">
        <v>7</v>
      </c>
      <c r="D89" s="33">
        <v>7</v>
      </c>
      <c r="E89" s="33">
        <v>7</v>
      </c>
      <c r="F89" s="33">
        <v>7</v>
      </c>
      <c r="G89" s="33">
        <v>7</v>
      </c>
      <c r="H89" s="33">
        <v>7</v>
      </c>
      <c r="I89" s="33">
        <v>7</v>
      </c>
      <c r="J89" s="33">
        <v>7</v>
      </c>
      <c r="K89" s="49">
        <v>7</v>
      </c>
      <c r="L89" s="33">
        <v>7</v>
      </c>
      <c r="M89" s="33">
        <v>7</v>
      </c>
      <c r="N89" s="31"/>
      <c r="O89" s="33"/>
      <c r="P89" s="33"/>
      <c r="Q89" s="32"/>
      <c r="R89" s="38"/>
      <c r="S89" s="38"/>
      <c r="T89" s="38"/>
      <c r="U89" s="32"/>
      <c r="V89" s="32"/>
      <c r="W89" s="32"/>
      <c r="X89" s="32"/>
    </row>
    <row r="90" spans="1:24" ht="15.75" customHeight="1" x14ac:dyDescent="0.25">
      <c r="A90" s="16" t="s">
        <v>5</v>
      </c>
      <c r="B90" s="36">
        <v>97674</v>
      </c>
      <c r="C90" s="36">
        <v>94216.5</v>
      </c>
      <c r="D90" s="36">
        <v>79149</v>
      </c>
      <c r="E90" s="36">
        <v>78486</v>
      </c>
      <c r="F90" s="36">
        <v>81266</v>
      </c>
      <c r="G90" s="36">
        <v>65455</v>
      </c>
      <c r="H90" s="36">
        <v>66509</v>
      </c>
      <c r="I90" s="36">
        <v>91720</v>
      </c>
      <c r="J90" s="36">
        <v>91520</v>
      </c>
      <c r="K90" s="50">
        <v>84621</v>
      </c>
      <c r="L90" s="36">
        <v>85104</v>
      </c>
      <c r="M90" s="36">
        <v>65336</v>
      </c>
      <c r="N90" s="20"/>
      <c r="O90" s="36">
        <f>SUM(B90:M90)</f>
        <v>981056.5</v>
      </c>
      <c r="P90" s="36">
        <f>O90+5811058</f>
        <v>6792114.5</v>
      </c>
      <c r="Q90" s="32"/>
      <c r="R90" s="38"/>
      <c r="S90" s="38"/>
      <c r="T90" s="38"/>
      <c r="U90" s="32"/>
      <c r="V90" s="32"/>
      <c r="W90" s="32"/>
      <c r="X90" s="32"/>
    </row>
    <row r="91" spans="1:24" ht="15.75" customHeight="1" x14ac:dyDescent="0.25">
      <c r="A91" s="16" t="s">
        <v>6</v>
      </c>
      <c r="B91" s="36">
        <v>11720.880000000001</v>
      </c>
      <c r="C91" s="36">
        <v>13190.310000000001</v>
      </c>
      <c r="D91" s="36">
        <v>11080.859999999999</v>
      </c>
      <c r="E91" s="36">
        <v>10988.039999999999</v>
      </c>
      <c r="F91" s="36">
        <v>11377.24</v>
      </c>
      <c r="G91" s="36">
        <v>9163.6999999999989</v>
      </c>
      <c r="H91" s="36">
        <v>9311.26</v>
      </c>
      <c r="I91" s="36">
        <v>12840.8</v>
      </c>
      <c r="J91" s="36">
        <v>12812.800000000001</v>
      </c>
      <c r="K91" s="50">
        <v>11846.939999999999</v>
      </c>
      <c r="L91" s="36">
        <v>11914.56</v>
      </c>
      <c r="M91" s="36">
        <v>9147.0400000000009</v>
      </c>
      <c r="N91" s="31"/>
      <c r="O91" s="36">
        <f>SUM(B91:M91)</f>
        <v>135394.43</v>
      </c>
      <c r="P91" s="36">
        <f>O91+727473</f>
        <v>862867.42999999993</v>
      </c>
      <c r="Q91" s="32"/>
      <c r="R91" s="38"/>
      <c r="S91" s="38"/>
      <c r="T91" s="38"/>
      <c r="U91" s="32"/>
      <c r="V91" s="32"/>
      <c r="W91" s="32"/>
      <c r="X91" s="32"/>
    </row>
    <row r="92" spans="1:24" ht="15.75" customHeight="1" x14ac:dyDescent="0.25">
      <c r="A92" s="16" t="s">
        <v>7</v>
      </c>
      <c r="B92" s="36">
        <v>1953.48</v>
      </c>
      <c r="C92" s="36">
        <v>1884.33</v>
      </c>
      <c r="D92" s="36">
        <v>1582.98</v>
      </c>
      <c r="E92" s="36">
        <v>1569.7199999999998</v>
      </c>
      <c r="F92" s="36">
        <v>1625.32</v>
      </c>
      <c r="G92" s="36">
        <v>1309.1000000000001</v>
      </c>
      <c r="H92" s="36">
        <v>1330.18</v>
      </c>
      <c r="I92" s="36">
        <v>1834.4</v>
      </c>
      <c r="J92" s="36">
        <v>1830.4</v>
      </c>
      <c r="K92" s="50">
        <v>1692.42</v>
      </c>
      <c r="L92" s="36">
        <v>1702.08</v>
      </c>
      <c r="M92" s="36">
        <v>1306.72</v>
      </c>
      <c r="N92" s="39"/>
      <c r="O92" s="36">
        <f>SUM(B92:M92)</f>
        <v>19621.130000000005</v>
      </c>
      <c r="P92" s="36">
        <f>O92+116221</f>
        <v>135842.13</v>
      </c>
      <c r="Q92" s="32"/>
      <c r="R92" s="38"/>
      <c r="S92" s="38"/>
      <c r="T92" s="38"/>
      <c r="U92" s="32"/>
      <c r="V92" s="32"/>
      <c r="W92" s="32"/>
      <c r="X92" s="32"/>
    </row>
    <row r="93" spans="1:24" ht="15.75" customHeight="1" x14ac:dyDescent="0.25">
      <c r="A93" s="13" t="s">
        <v>9</v>
      </c>
      <c r="B93" s="33">
        <v>32</v>
      </c>
      <c r="C93" s="33">
        <v>32</v>
      </c>
      <c r="D93" s="33">
        <v>31.8</v>
      </c>
      <c r="E93" s="33">
        <v>32</v>
      </c>
      <c r="F93" s="33">
        <v>32</v>
      </c>
      <c r="G93" s="33">
        <v>32</v>
      </c>
      <c r="H93" s="33">
        <v>32</v>
      </c>
      <c r="I93" s="33">
        <v>32</v>
      </c>
      <c r="J93" s="33">
        <v>32</v>
      </c>
      <c r="K93" s="49">
        <v>32</v>
      </c>
      <c r="L93" s="33">
        <v>31.4</v>
      </c>
      <c r="M93" s="33">
        <v>30.8</v>
      </c>
      <c r="N93" s="20"/>
      <c r="O93" s="33"/>
      <c r="P93" s="33"/>
      <c r="Q93" s="32"/>
      <c r="R93" s="38"/>
      <c r="S93" s="38"/>
      <c r="T93" s="38"/>
      <c r="U93" s="32"/>
      <c r="V93" s="32"/>
      <c r="W93" s="32"/>
      <c r="X93" s="32"/>
    </row>
    <row r="94" spans="1:24" ht="15.75" customHeight="1" x14ac:dyDescent="0.25">
      <c r="A94" s="16" t="s">
        <v>5</v>
      </c>
      <c r="B94" s="36">
        <v>1072358.75</v>
      </c>
      <c r="C94" s="36">
        <v>1020484.5299999999</v>
      </c>
      <c r="D94" s="36">
        <v>1522485.5</v>
      </c>
      <c r="E94" s="36">
        <v>937168.46</v>
      </c>
      <c r="F94" s="36">
        <v>981355.35</v>
      </c>
      <c r="G94" s="36">
        <v>917969.12000000011</v>
      </c>
      <c r="H94" s="36">
        <v>1089385.53</v>
      </c>
      <c r="I94" s="36">
        <v>1105102.48</v>
      </c>
      <c r="J94" s="36">
        <v>1127273.8800000001</v>
      </c>
      <c r="K94" s="50">
        <v>1423359.53</v>
      </c>
      <c r="L94" s="36">
        <v>1318840.6599999999</v>
      </c>
      <c r="M94" s="36">
        <v>1276276.1000000001</v>
      </c>
      <c r="N94" s="26"/>
      <c r="O94" s="36">
        <f t="shared" ref="O94:O100" si="3">SUM(B94:M94)</f>
        <v>13792059.890000001</v>
      </c>
      <c r="P94" s="36">
        <f>O94+90042696</f>
        <v>103834755.89</v>
      </c>
      <c r="Q94" s="32"/>
      <c r="R94" s="38"/>
      <c r="S94" s="38"/>
      <c r="T94" s="38"/>
      <c r="U94" s="32"/>
      <c r="V94" s="32"/>
      <c r="W94" s="32"/>
      <c r="X94" s="32"/>
    </row>
    <row r="95" spans="1:24" ht="15.75" customHeight="1" x14ac:dyDescent="0.25">
      <c r="A95" s="16" t="s">
        <v>6</v>
      </c>
      <c r="B95" s="36">
        <v>128683.05000000002</v>
      </c>
      <c r="C95" s="36">
        <v>142867.84</v>
      </c>
      <c r="D95" s="36">
        <v>213147.98</v>
      </c>
      <c r="E95" s="36">
        <v>131203.59</v>
      </c>
      <c r="F95" s="36">
        <v>137389.75999999998</v>
      </c>
      <c r="G95" s="36">
        <v>128515.68000000001</v>
      </c>
      <c r="H95" s="36">
        <v>152513.99000000002</v>
      </c>
      <c r="I95" s="36">
        <v>154714.36000000002</v>
      </c>
      <c r="J95" s="36">
        <v>157818.36000000002</v>
      </c>
      <c r="K95" s="50">
        <v>199270.34</v>
      </c>
      <c r="L95" s="36">
        <v>184637.71</v>
      </c>
      <c r="M95" s="36">
        <v>178678.66999999998</v>
      </c>
      <c r="N95" s="43"/>
      <c r="O95" s="36">
        <f t="shared" si="3"/>
        <v>1909441.33</v>
      </c>
      <c r="P95" s="36">
        <f>O95+11613527</f>
        <v>13522968.33</v>
      </c>
      <c r="Q95" s="32"/>
      <c r="R95" s="38"/>
      <c r="S95" s="38"/>
      <c r="T95" s="38"/>
      <c r="U95" s="32"/>
      <c r="V95" s="32"/>
      <c r="W95" s="32"/>
      <c r="X95" s="32"/>
    </row>
    <row r="96" spans="1:24" ht="15.75" customHeight="1" x14ac:dyDescent="0.25">
      <c r="A96" s="16" t="s">
        <v>7</v>
      </c>
      <c r="B96" s="36">
        <v>21447.190000000002</v>
      </c>
      <c r="C96" s="36">
        <v>20409.7</v>
      </c>
      <c r="D96" s="36">
        <v>30449.71</v>
      </c>
      <c r="E96" s="36">
        <v>18743.37</v>
      </c>
      <c r="F96" s="36">
        <v>19627.109999999997</v>
      </c>
      <c r="G96" s="36">
        <v>18359.400000000001</v>
      </c>
      <c r="H96" s="36">
        <v>21787.73</v>
      </c>
      <c r="I96" s="36">
        <v>22102.06</v>
      </c>
      <c r="J96" s="36">
        <v>22545.49</v>
      </c>
      <c r="K96" s="50">
        <v>28467.200000000004</v>
      </c>
      <c r="L96" s="36">
        <v>26376.829999999998</v>
      </c>
      <c r="M96" s="36">
        <v>25525.539999999997</v>
      </c>
      <c r="N96" s="37"/>
      <c r="O96" s="36">
        <f t="shared" si="3"/>
        <v>275841.33</v>
      </c>
      <c r="P96" s="36">
        <f>O96+1800855</f>
        <v>2076696.33</v>
      </c>
      <c r="Q96" s="32"/>
      <c r="R96" s="38"/>
      <c r="S96" s="38"/>
      <c r="T96" s="38"/>
      <c r="U96" s="32"/>
      <c r="V96" s="32"/>
      <c r="W96" s="32"/>
      <c r="X96" s="32"/>
    </row>
    <row r="97" spans="1:24" ht="15.75" customHeight="1" x14ac:dyDescent="0.25">
      <c r="A97" s="13" t="s">
        <v>10</v>
      </c>
      <c r="B97" s="33">
        <v>0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49" t="s">
        <v>43</v>
      </c>
      <c r="L97" s="49" t="s">
        <v>43</v>
      </c>
      <c r="M97" s="33">
        <v>0</v>
      </c>
      <c r="N97" s="39"/>
      <c r="O97" s="33"/>
      <c r="P97" s="33"/>
      <c r="Q97" s="32"/>
      <c r="R97" s="38"/>
      <c r="S97" s="38"/>
      <c r="T97" s="38"/>
      <c r="U97" s="32"/>
      <c r="V97" s="32"/>
      <c r="W97" s="32"/>
      <c r="X97" s="32"/>
    </row>
    <row r="98" spans="1:24" ht="15.75" customHeight="1" x14ac:dyDescent="0.25">
      <c r="A98" s="16" t="s">
        <v>5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50">
        <v>0</v>
      </c>
      <c r="L98" s="36">
        <v>0</v>
      </c>
      <c r="M98" s="36">
        <v>0</v>
      </c>
      <c r="N98" s="39"/>
      <c r="O98" s="36">
        <f t="shared" si="3"/>
        <v>0</v>
      </c>
      <c r="P98" s="36">
        <f>O98</f>
        <v>0</v>
      </c>
      <c r="Q98" s="32"/>
      <c r="R98" s="38"/>
      <c r="S98" s="38"/>
      <c r="T98" s="38"/>
      <c r="U98" s="32"/>
      <c r="V98" s="32"/>
      <c r="W98" s="32"/>
      <c r="X98" s="32"/>
    </row>
    <row r="99" spans="1:24" ht="15.75" customHeight="1" x14ac:dyDescent="0.25">
      <c r="A99" s="16" t="s">
        <v>6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50">
        <v>0</v>
      </c>
      <c r="L99" s="36">
        <v>0</v>
      </c>
      <c r="M99" s="36">
        <v>0</v>
      </c>
      <c r="N99" s="31"/>
      <c r="O99" s="36">
        <f t="shared" si="3"/>
        <v>0</v>
      </c>
      <c r="P99" s="36">
        <f>O99</f>
        <v>0</v>
      </c>
      <c r="Q99" s="32"/>
      <c r="R99" s="38"/>
      <c r="S99" s="38"/>
      <c r="T99" s="38"/>
      <c r="U99" s="32"/>
      <c r="V99" s="32"/>
      <c r="W99" s="32"/>
      <c r="X99" s="32"/>
    </row>
    <row r="100" spans="1:24" ht="15.75" customHeight="1" x14ac:dyDescent="0.25">
      <c r="A100" s="16" t="s">
        <v>7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50">
        <v>0</v>
      </c>
      <c r="L100" s="36">
        <v>0</v>
      </c>
      <c r="M100" s="36">
        <v>0</v>
      </c>
      <c r="N100" s="40"/>
      <c r="O100" s="36">
        <f t="shared" si="3"/>
        <v>0</v>
      </c>
      <c r="P100" s="36">
        <f>O100</f>
        <v>0</v>
      </c>
      <c r="Q100" s="32"/>
      <c r="R100" s="38"/>
      <c r="S100" s="38"/>
      <c r="T100" s="38"/>
      <c r="U100" s="32"/>
      <c r="V100" s="32"/>
      <c r="W100" s="32"/>
      <c r="X100" s="32"/>
    </row>
    <row r="101" spans="1:24" ht="15.75" customHeight="1" x14ac:dyDescent="0.25">
      <c r="A101" s="13" t="s">
        <v>45</v>
      </c>
      <c r="B101" s="33">
        <v>1</v>
      </c>
      <c r="C101" s="33">
        <v>1</v>
      </c>
      <c r="D101" s="33">
        <v>1</v>
      </c>
      <c r="E101" s="33">
        <v>1</v>
      </c>
      <c r="F101" s="33">
        <v>1</v>
      </c>
      <c r="G101" s="33">
        <v>0.6</v>
      </c>
      <c r="H101" s="33">
        <v>0</v>
      </c>
      <c r="I101" s="33">
        <v>0</v>
      </c>
      <c r="J101" s="33">
        <v>0</v>
      </c>
      <c r="K101" s="49" t="s">
        <v>43</v>
      </c>
      <c r="L101" s="49" t="s">
        <v>43</v>
      </c>
      <c r="M101" s="33">
        <v>0</v>
      </c>
      <c r="N101" s="31"/>
      <c r="O101" s="33"/>
      <c r="P101" s="33"/>
      <c r="Q101" s="32"/>
      <c r="R101" s="38"/>
      <c r="S101" s="38"/>
      <c r="T101" s="38"/>
      <c r="U101" s="32"/>
      <c r="V101" s="32"/>
      <c r="W101" s="32"/>
      <c r="X101" s="32"/>
    </row>
    <row r="102" spans="1:24" ht="15.75" customHeight="1" x14ac:dyDescent="0.25">
      <c r="A102" s="16" t="s">
        <v>5</v>
      </c>
      <c r="B102" s="36">
        <v>72092.5</v>
      </c>
      <c r="C102" s="36">
        <v>53240</v>
      </c>
      <c r="D102" s="36">
        <v>46648.5</v>
      </c>
      <c r="E102" s="36">
        <v>36147</v>
      </c>
      <c r="F102" s="36">
        <v>48364</v>
      </c>
      <c r="G102" s="36">
        <v>27066</v>
      </c>
      <c r="H102" s="36">
        <v>0</v>
      </c>
      <c r="I102" s="36">
        <v>0</v>
      </c>
      <c r="J102" s="36">
        <v>0</v>
      </c>
      <c r="K102" s="50">
        <v>0</v>
      </c>
      <c r="L102" s="36">
        <v>0</v>
      </c>
      <c r="M102" s="36">
        <v>0</v>
      </c>
      <c r="N102" s="40"/>
      <c r="O102" s="36">
        <f>SUM(B102:M102)</f>
        <v>283558</v>
      </c>
      <c r="P102" s="36">
        <f>O102+939179</f>
        <v>1222737</v>
      </c>
      <c r="Q102" s="38"/>
      <c r="R102" s="38"/>
      <c r="S102" s="38"/>
      <c r="T102" s="38"/>
      <c r="U102" s="32"/>
      <c r="V102" s="32"/>
      <c r="W102" s="32"/>
      <c r="X102" s="32"/>
    </row>
    <row r="103" spans="1:24" ht="15.75" customHeight="1" x14ac:dyDescent="0.25">
      <c r="A103" s="16" t="s">
        <v>6</v>
      </c>
      <c r="B103" s="36">
        <v>33162.549999999996</v>
      </c>
      <c r="C103" s="36">
        <v>25555.200000000001</v>
      </c>
      <c r="D103" s="36">
        <v>22391.279999999999</v>
      </c>
      <c r="E103" s="36">
        <v>17350.559999999998</v>
      </c>
      <c r="F103" s="36">
        <v>23214.720000000001</v>
      </c>
      <c r="G103" s="36">
        <v>12991.68</v>
      </c>
      <c r="H103" s="36">
        <v>0</v>
      </c>
      <c r="I103" s="36">
        <v>0</v>
      </c>
      <c r="J103" s="36">
        <v>0</v>
      </c>
      <c r="K103" s="50">
        <v>0</v>
      </c>
      <c r="L103" s="36">
        <v>0</v>
      </c>
      <c r="M103" s="36">
        <v>0</v>
      </c>
      <c r="N103" s="31"/>
      <c r="O103" s="36">
        <f>SUM(B103:M103)</f>
        <v>134665.99</v>
      </c>
      <c r="P103" s="36">
        <f>O103+432022</f>
        <v>566687.99</v>
      </c>
      <c r="Q103" s="38"/>
      <c r="R103" s="38"/>
      <c r="S103" s="38"/>
      <c r="T103" s="38"/>
      <c r="U103" s="32"/>
      <c r="V103" s="32"/>
      <c r="W103" s="32"/>
      <c r="X103" s="32"/>
    </row>
    <row r="104" spans="1:24" ht="15.75" customHeight="1" x14ac:dyDescent="0.25">
      <c r="A104" s="16" t="s">
        <v>7</v>
      </c>
      <c r="B104" s="36">
        <v>1441.8500000000001</v>
      </c>
      <c r="C104" s="36">
        <v>1064.8</v>
      </c>
      <c r="D104" s="36">
        <v>932.96999999999991</v>
      </c>
      <c r="E104" s="36">
        <v>722.94</v>
      </c>
      <c r="F104" s="36">
        <v>967.28</v>
      </c>
      <c r="G104" s="36">
        <v>541.31999999999994</v>
      </c>
      <c r="H104" s="36">
        <v>0</v>
      </c>
      <c r="I104" s="36">
        <v>0</v>
      </c>
      <c r="J104" s="36">
        <v>0</v>
      </c>
      <c r="K104" s="50">
        <v>0</v>
      </c>
      <c r="L104" s="36">
        <v>0</v>
      </c>
      <c r="M104" s="36">
        <v>0</v>
      </c>
      <c r="N104" s="20"/>
      <c r="O104" s="36">
        <f>SUM(B104:M104)</f>
        <v>5671.1599999999989</v>
      </c>
      <c r="P104" s="36">
        <f>O104+18784</f>
        <v>24455.16</v>
      </c>
      <c r="Q104" s="38"/>
      <c r="R104" s="38"/>
      <c r="S104" s="38"/>
      <c r="T104" s="38"/>
      <c r="U104" s="32"/>
      <c r="V104" s="32"/>
      <c r="W104" s="32"/>
      <c r="X104" s="32"/>
    </row>
    <row r="105" spans="1:24" ht="15.75" customHeight="1" x14ac:dyDescent="0.25">
      <c r="A105" s="21" t="s">
        <v>11</v>
      </c>
      <c r="B105" s="33">
        <v>0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49" t="s">
        <v>43</v>
      </c>
      <c r="M105" s="33">
        <v>0</v>
      </c>
      <c r="N105" s="31"/>
      <c r="O105" s="33"/>
      <c r="P105" s="33"/>
      <c r="Q105" s="32"/>
      <c r="R105" s="38"/>
      <c r="S105" s="38"/>
      <c r="T105" s="38"/>
      <c r="U105" s="32"/>
      <c r="V105" s="32"/>
      <c r="W105" s="32"/>
      <c r="X105" s="32"/>
    </row>
    <row r="106" spans="1:24" ht="15.75" customHeight="1" x14ac:dyDescent="0.25">
      <c r="A106" s="22" t="s">
        <v>5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1"/>
      <c r="O106" s="36">
        <f t="shared" ref="O106:O108" si="4">SUM(B106:M106)</f>
        <v>0</v>
      </c>
      <c r="P106" s="36">
        <f>O106</f>
        <v>0</v>
      </c>
      <c r="Q106" s="32"/>
      <c r="R106" s="38"/>
      <c r="S106" s="38"/>
      <c r="T106" s="38"/>
      <c r="U106" s="32"/>
      <c r="V106" s="32"/>
      <c r="W106" s="32"/>
      <c r="X106" s="32"/>
    </row>
    <row r="107" spans="1:24" ht="15.75" customHeight="1" x14ac:dyDescent="0.25">
      <c r="A107" s="16" t="s">
        <v>6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1"/>
      <c r="O107" s="36">
        <f t="shared" si="4"/>
        <v>0</v>
      </c>
      <c r="P107" s="36">
        <f>O107</f>
        <v>0</v>
      </c>
      <c r="Q107" s="32"/>
      <c r="R107" s="38"/>
      <c r="S107" s="38"/>
      <c r="T107" s="38"/>
      <c r="U107" s="32"/>
      <c r="V107" s="32"/>
      <c r="W107" s="32"/>
      <c r="X107" s="32"/>
    </row>
    <row r="108" spans="1:24" ht="15.75" customHeight="1" x14ac:dyDescent="0.25">
      <c r="A108" s="22" t="s">
        <v>7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1"/>
      <c r="O108" s="36">
        <f t="shared" si="4"/>
        <v>0</v>
      </c>
      <c r="P108" s="36">
        <f>O108</f>
        <v>0</v>
      </c>
      <c r="Q108" s="32"/>
      <c r="R108" s="38"/>
      <c r="S108" s="38"/>
      <c r="T108" s="38"/>
      <c r="U108" s="32"/>
      <c r="V108" s="32"/>
      <c r="W108" s="32"/>
      <c r="X108" s="32"/>
    </row>
    <row r="109" spans="1:24" ht="15.75" customHeight="1" x14ac:dyDescent="0.25">
      <c r="B109" s="33"/>
      <c r="C109" s="33"/>
      <c r="D109" s="33"/>
      <c r="E109" s="33"/>
      <c r="F109" s="33"/>
      <c r="G109" s="33"/>
      <c r="H109" s="32"/>
      <c r="I109" s="33"/>
      <c r="J109" s="33"/>
      <c r="K109" s="49"/>
      <c r="L109" s="33"/>
      <c r="M109" s="33"/>
      <c r="N109" s="31"/>
      <c r="O109" s="33"/>
      <c r="P109" s="33"/>
      <c r="Q109" s="32"/>
      <c r="R109" s="38"/>
      <c r="S109" s="38"/>
      <c r="T109" s="38"/>
      <c r="U109" s="32"/>
      <c r="V109" s="32"/>
      <c r="W109" s="32"/>
      <c r="X109" s="32"/>
    </row>
    <row r="110" spans="1:24" ht="15.75" customHeight="1" x14ac:dyDescent="0.25">
      <c r="A110" s="11" t="s">
        <v>16</v>
      </c>
      <c r="B110" s="36"/>
      <c r="C110" s="36"/>
      <c r="D110" s="36"/>
      <c r="E110" s="36"/>
      <c r="F110" s="36"/>
      <c r="G110" s="36"/>
      <c r="H110" s="32"/>
      <c r="I110" s="36"/>
      <c r="J110" s="36"/>
      <c r="K110" s="50"/>
      <c r="L110" s="36"/>
      <c r="M110" s="36"/>
      <c r="N110" s="20"/>
      <c r="O110" s="36"/>
      <c r="P110" s="36"/>
      <c r="Q110" s="32"/>
      <c r="R110" s="38"/>
      <c r="S110" s="38"/>
      <c r="T110" s="38"/>
      <c r="U110" s="32"/>
      <c r="V110" s="32"/>
      <c r="W110" s="32"/>
      <c r="X110" s="32"/>
    </row>
    <row r="111" spans="1:24" ht="15.75" customHeight="1" x14ac:dyDescent="0.25">
      <c r="A111" s="13" t="s">
        <v>4</v>
      </c>
      <c r="B111" s="33">
        <v>82</v>
      </c>
      <c r="C111" s="33">
        <v>82</v>
      </c>
      <c r="D111" s="33">
        <v>82</v>
      </c>
      <c r="E111" s="33">
        <v>82</v>
      </c>
      <c r="F111" s="33">
        <v>82</v>
      </c>
      <c r="G111" s="33">
        <v>82</v>
      </c>
      <c r="H111" s="33">
        <v>82</v>
      </c>
      <c r="I111" s="33">
        <v>81.8</v>
      </c>
      <c r="J111" s="33">
        <v>82.039999999999992</v>
      </c>
      <c r="K111" s="49">
        <v>82.16</v>
      </c>
      <c r="L111" s="33">
        <v>82.2</v>
      </c>
      <c r="M111" s="33">
        <v>81.92</v>
      </c>
      <c r="N111" s="31"/>
      <c r="O111" s="33"/>
      <c r="P111" s="33"/>
      <c r="Q111" s="32"/>
      <c r="R111" s="38"/>
      <c r="S111" s="38"/>
      <c r="T111" s="38"/>
      <c r="U111" s="32"/>
      <c r="V111" s="32"/>
      <c r="W111" s="32"/>
      <c r="X111" s="32"/>
    </row>
    <row r="112" spans="1:24" ht="15.75" customHeight="1" x14ac:dyDescent="0.25">
      <c r="A112" s="16" t="s">
        <v>5</v>
      </c>
      <c r="B112" s="36">
        <v>2696061.25</v>
      </c>
      <c r="C112" s="36">
        <v>1625299.1</v>
      </c>
      <c r="D112" s="36">
        <v>2036220.92</v>
      </c>
      <c r="E112" s="36">
        <v>3028774.25</v>
      </c>
      <c r="F112" s="36">
        <v>2746001.37</v>
      </c>
      <c r="G112" s="36">
        <v>2958672.99</v>
      </c>
      <c r="H112" s="36">
        <v>2633807.39</v>
      </c>
      <c r="I112" s="36">
        <v>2655641</v>
      </c>
      <c r="J112" s="36">
        <v>3291110</v>
      </c>
      <c r="K112" s="50">
        <v>4341278.08</v>
      </c>
      <c r="L112" s="36">
        <v>1443067.17</v>
      </c>
      <c r="M112" s="36">
        <v>2647382.23</v>
      </c>
      <c r="N112" s="39"/>
      <c r="O112" s="36">
        <f>SUM(B112:M112)</f>
        <v>32103315.750000004</v>
      </c>
      <c r="P112" s="36">
        <f>O112+195050178</f>
        <v>227153493.75</v>
      </c>
      <c r="Q112" s="32"/>
      <c r="R112" s="38"/>
      <c r="S112" s="38"/>
      <c r="T112" s="38"/>
      <c r="U112" s="32"/>
      <c r="V112" s="32"/>
      <c r="W112" s="32"/>
      <c r="X112" s="32"/>
    </row>
    <row r="113" spans="1:24" ht="15.75" customHeight="1" x14ac:dyDescent="0.25">
      <c r="A113" s="16" t="s">
        <v>6</v>
      </c>
      <c r="B113" s="36">
        <v>347190.84</v>
      </c>
      <c r="C113" s="36">
        <v>256290.41</v>
      </c>
      <c r="D113" s="36">
        <v>305376.42</v>
      </c>
      <c r="E113" s="36">
        <v>444164.57999999996</v>
      </c>
      <c r="F113" s="36">
        <v>413975.33</v>
      </c>
      <c r="G113" s="36">
        <v>438377.01</v>
      </c>
      <c r="H113" s="36">
        <v>388847.61</v>
      </c>
      <c r="I113" s="36">
        <v>394754.53</v>
      </c>
      <c r="J113" s="36">
        <v>497322.76</v>
      </c>
      <c r="K113" s="50">
        <v>641528.37</v>
      </c>
      <c r="L113" s="36">
        <v>227369.26</v>
      </c>
      <c r="M113" s="36">
        <v>384222.31</v>
      </c>
      <c r="N113" s="32"/>
      <c r="O113" s="36">
        <f>SUM(B113:M113)</f>
        <v>4739419.4299999988</v>
      </c>
      <c r="P113" s="36">
        <f>O113+25069935</f>
        <v>29809354.43</v>
      </c>
      <c r="Q113" s="32"/>
      <c r="R113" s="38"/>
      <c r="S113" s="38"/>
      <c r="T113" s="38"/>
      <c r="U113" s="32"/>
      <c r="V113" s="32"/>
      <c r="W113" s="32"/>
      <c r="X113" s="32"/>
    </row>
    <row r="114" spans="1:24" ht="15.75" customHeight="1" x14ac:dyDescent="0.25">
      <c r="A114" s="16" t="s">
        <v>7</v>
      </c>
      <c r="B114" s="36">
        <v>53921.240000000005</v>
      </c>
      <c r="C114" s="36">
        <v>32505.989999999998</v>
      </c>
      <c r="D114" s="36">
        <v>40724.43</v>
      </c>
      <c r="E114" s="36">
        <v>60575.509999999987</v>
      </c>
      <c r="F114" s="36">
        <v>54920.039999999994</v>
      </c>
      <c r="G114" s="36">
        <v>59173.47</v>
      </c>
      <c r="H114" s="36">
        <v>52676.160000000011</v>
      </c>
      <c r="I114" s="36">
        <v>53112.819999999992</v>
      </c>
      <c r="J114" s="36">
        <v>65822.219999999987</v>
      </c>
      <c r="K114" s="50">
        <v>86825.579999999987</v>
      </c>
      <c r="L114" s="36">
        <v>28861.339999999997</v>
      </c>
      <c r="M114" s="36">
        <v>52947.66</v>
      </c>
      <c r="N114" s="32"/>
      <c r="O114" s="36">
        <f>SUM(B114:M114)</f>
        <v>642066.46</v>
      </c>
      <c r="P114" s="36">
        <f>O114+3901004</f>
        <v>4543070.46</v>
      </c>
      <c r="Q114" s="32"/>
      <c r="R114" s="38"/>
      <c r="S114" s="38"/>
      <c r="T114" s="38"/>
      <c r="U114" s="32"/>
      <c r="V114" s="32"/>
      <c r="W114" s="32"/>
      <c r="X114" s="32"/>
    </row>
    <row r="115" spans="1:24" ht="15.75" customHeight="1" x14ac:dyDescent="0.25">
      <c r="A115" s="13" t="s">
        <v>8</v>
      </c>
      <c r="B115" s="33">
        <v>14</v>
      </c>
      <c r="C115" s="33">
        <v>14</v>
      </c>
      <c r="D115" s="33">
        <v>14</v>
      </c>
      <c r="E115" s="33">
        <v>14</v>
      </c>
      <c r="F115" s="33">
        <v>14</v>
      </c>
      <c r="G115" s="33">
        <v>14</v>
      </c>
      <c r="H115" s="33">
        <v>14</v>
      </c>
      <c r="I115" s="33">
        <v>14</v>
      </c>
      <c r="J115" s="33">
        <v>14</v>
      </c>
      <c r="K115" s="49">
        <v>14</v>
      </c>
      <c r="L115" s="33">
        <v>14</v>
      </c>
      <c r="M115" s="33">
        <v>14</v>
      </c>
      <c r="N115" s="32"/>
      <c r="O115" s="33"/>
      <c r="P115" s="33"/>
      <c r="Q115" s="32"/>
      <c r="R115" s="38"/>
      <c r="S115" s="38"/>
      <c r="T115" s="38"/>
      <c r="U115" s="32"/>
      <c r="V115" s="32"/>
      <c r="W115" s="32"/>
      <c r="X115" s="32"/>
    </row>
    <row r="116" spans="1:24" ht="15.75" customHeight="1" x14ac:dyDescent="0.25">
      <c r="A116" s="16" t="s">
        <v>5</v>
      </c>
      <c r="B116" s="36">
        <v>164133</v>
      </c>
      <c r="C116" s="36">
        <v>151963</v>
      </c>
      <c r="D116" s="36">
        <v>140012</v>
      </c>
      <c r="E116" s="36">
        <v>140591</v>
      </c>
      <c r="F116" s="36">
        <v>146530</v>
      </c>
      <c r="G116" s="36">
        <v>143779</v>
      </c>
      <c r="H116" s="36">
        <v>161640</v>
      </c>
      <c r="I116" s="36">
        <v>165976</v>
      </c>
      <c r="J116" s="36">
        <v>180085</v>
      </c>
      <c r="K116" s="50">
        <v>154053</v>
      </c>
      <c r="L116" s="36">
        <v>157442</v>
      </c>
      <c r="M116" s="36">
        <v>137652</v>
      </c>
      <c r="N116" s="32"/>
      <c r="O116" s="36">
        <f>SUM(B116:M116)</f>
        <v>1843856</v>
      </c>
      <c r="P116" s="36">
        <f>O116+17279825</f>
        <v>19123681</v>
      </c>
      <c r="Q116" s="32"/>
      <c r="R116" s="38"/>
      <c r="S116" s="38"/>
      <c r="T116" s="38"/>
      <c r="U116" s="32"/>
      <c r="V116" s="32"/>
      <c r="W116" s="32"/>
      <c r="X116" s="32"/>
    </row>
    <row r="117" spans="1:24" ht="15.75" customHeight="1" x14ac:dyDescent="0.25">
      <c r="A117" s="16" t="s">
        <v>6</v>
      </c>
      <c r="B117" s="36">
        <v>19695.96</v>
      </c>
      <c r="C117" s="36">
        <v>21274.819999999996</v>
      </c>
      <c r="D117" s="36">
        <v>19601.68</v>
      </c>
      <c r="E117" s="36">
        <v>19682.740000000002</v>
      </c>
      <c r="F117" s="36">
        <v>20514.2</v>
      </c>
      <c r="G117" s="36">
        <v>20129.059999999998</v>
      </c>
      <c r="H117" s="36">
        <v>22629.600000000002</v>
      </c>
      <c r="I117" s="36">
        <v>23236.639999999999</v>
      </c>
      <c r="J117" s="36">
        <v>25211.9</v>
      </c>
      <c r="K117" s="50">
        <v>21567.420000000002</v>
      </c>
      <c r="L117" s="36">
        <v>22041.88</v>
      </c>
      <c r="M117" s="36">
        <v>19271.28</v>
      </c>
      <c r="N117" s="32"/>
      <c r="O117" s="36">
        <f>SUM(B117:M117)</f>
        <v>254857.18000000002</v>
      </c>
      <c r="P117" s="36">
        <f>O117+2224802</f>
        <v>2479659.1800000002</v>
      </c>
      <c r="Q117" s="32"/>
      <c r="R117" s="38"/>
      <c r="S117" s="38"/>
      <c r="T117" s="38"/>
      <c r="U117" s="32"/>
      <c r="V117" s="32"/>
      <c r="W117" s="32"/>
      <c r="X117" s="32"/>
    </row>
    <row r="118" spans="1:24" ht="15.75" customHeight="1" x14ac:dyDescent="0.25">
      <c r="A118" s="16" t="s">
        <v>7</v>
      </c>
      <c r="B118" s="36">
        <v>3282.6600000000003</v>
      </c>
      <c r="C118" s="36">
        <v>3039.2599999999998</v>
      </c>
      <c r="D118" s="36">
        <v>2800.2400000000002</v>
      </c>
      <c r="E118" s="36">
        <v>2811.8199999999997</v>
      </c>
      <c r="F118" s="36">
        <v>2930.6</v>
      </c>
      <c r="G118" s="36">
        <v>2875.5800000000004</v>
      </c>
      <c r="H118" s="36">
        <v>3232.7999999999997</v>
      </c>
      <c r="I118" s="36">
        <v>3319.5200000000004</v>
      </c>
      <c r="J118" s="36">
        <v>3601.7</v>
      </c>
      <c r="K118" s="50">
        <v>3081.0600000000004</v>
      </c>
      <c r="L118" s="36">
        <v>3148.84</v>
      </c>
      <c r="M118" s="36">
        <v>2753.0400000000004</v>
      </c>
      <c r="N118" s="32"/>
      <c r="O118" s="36">
        <f>SUM(B118:M118)</f>
        <v>36877.120000000003</v>
      </c>
      <c r="P118" s="36">
        <f>O118+345596</f>
        <v>382473.12</v>
      </c>
      <c r="Q118" s="32"/>
      <c r="R118" s="38"/>
      <c r="S118" s="38"/>
      <c r="T118" s="38"/>
      <c r="U118" s="32"/>
      <c r="V118" s="32"/>
      <c r="W118" s="32"/>
      <c r="X118" s="32"/>
    </row>
    <row r="119" spans="1:24" ht="15.75" customHeight="1" x14ac:dyDescent="0.25">
      <c r="A119" s="13" t="s">
        <v>9</v>
      </c>
      <c r="B119" s="33">
        <v>67</v>
      </c>
      <c r="C119" s="33">
        <v>67</v>
      </c>
      <c r="D119" s="33">
        <v>67</v>
      </c>
      <c r="E119" s="33">
        <v>67</v>
      </c>
      <c r="F119" s="33">
        <v>67</v>
      </c>
      <c r="G119" s="33">
        <v>67</v>
      </c>
      <c r="H119" s="33">
        <v>67</v>
      </c>
      <c r="I119" s="33">
        <v>66.8</v>
      </c>
      <c r="J119" s="33">
        <v>67</v>
      </c>
      <c r="K119" s="49">
        <v>67</v>
      </c>
      <c r="L119" s="33">
        <v>67</v>
      </c>
      <c r="M119" s="33">
        <v>67</v>
      </c>
      <c r="N119" s="32"/>
      <c r="O119" s="33"/>
      <c r="P119" s="33"/>
      <c r="Q119" s="32"/>
      <c r="R119" s="38"/>
      <c r="S119" s="38"/>
      <c r="T119" s="38"/>
      <c r="U119" s="32"/>
      <c r="V119" s="32"/>
      <c r="W119" s="32"/>
      <c r="X119" s="32"/>
    </row>
    <row r="120" spans="1:24" ht="15.75" customHeight="1" x14ac:dyDescent="0.25">
      <c r="A120" s="16" t="s">
        <v>5</v>
      </c>
      <c r="B120" s="36">
        <v>2462329.75</v>
      </c>
      <c r="C120" s="36">
        <v>1388781.6</v>
      </c>
      <c r="D120" s="36">
        <v>1836486.92</v>
      </c>
      <c r="E120" s="36">
        <v>2828959.25</v>
      </c>
      <c r="F120" s="36">
        <v>2512603.37</v>
      </c>
      <c r="G120" s="36">
        <v>2743826.99</v>
      </c>
      <c r="H120" s="36">
        <v>2413006.89</v>
      </c>
      <c r="I120" s="36">
        <v>2422121.5</v>
      </c>
      <c r="J120" s="36">
        <v>3003474</v>
      </c>
      <c r="K120" s="50">
        <v>4087962.08</v>
      </c>
      <c r="L120" s="36">
        <v>1211096.17</v>
      </c>
      <c r="M120" s="36">
        <v>2469763.23</v>
      </c>
      <c r="N120" s="32"/>
      <c r="O120" s="36">
        <f t="shared" ref="O120:O126" si="5">SUM(B120:M120)</f>
        <v>29380411.750000004</v>
      </c>
      <c r="P120" s="36">
        <f>O120+176915085</f>
        <v>206295496.75</v>
      </c>
      <c r="Q120" s="32"/>
      <c r="R120" s="38"/>
      <c r="S120" s="38"/>
      <c r="T120" s="38"/>
      <c r="U120" s="32"/>
      <c r="V120" s="32"/>
      <c r="W120" s="32"/>
      <c r="X120" s="32"/>
    </row>
    <row r="121" spans="1:24" ht="15.75" customHeight="1" x14ac:dyDescent="0.25">
      <c r="A121" s="16" t="s">
        <v>6</v>
      </c>
      <c r="B121" s="36">
        <v>295479.57</v>
      </c>
      <c r="C121" s="36">
        <v>194429.43</v>
      </c>
      <c r="D121" s="36">
        <v>257108.18</v>
      </c>
      <c r="E121" s="36">
        <v>396054.32000000007</v>
      </c>
      <c r="F121" s="36">
        <v>351764.49</v>
      </c>
      <c r="G121" s="36">
        <v>384135.79000000004</v>
      </c>
      <c r="H121" s="36">
        <v>337820.97000000003</v>
      </c>
      <c r="I121" s="36">
        <v>339097.01</v>
      </c>
      <c r="J121" s="36">
        <v>420486.38</v>
      </c>
      <c r="K121" s="50">
        <v>572314.71</v>
      </c>
      <c r="L121" s="36">
        <v>169553.46000000002</v>
      </c>
      <c r="M121" s="36">
        <v>345766.87</v>
      </c>
      <c r="N121" s="32"/>
      <c r="O121" s="36">
        <f t="shared" si="5"/>
        <v>4064011.1799999997</v>
      </c>
      <c r="P121" s="36">
        <f>O121+22451710</f>
        <v>26515721.18</v>
      </c>
      <c r="Q121" s="32"/>
      <c r="R121" s="38"/>
      <c r="S121" s="38"/>
      <c r="T121" s="38"/>
      <c r="U121" s="32"/>
      <c r="V121" s="32"/>
      <c r="W121" s="32"/>
      <c r="X121" s="32"/>
    </row>
    <row r="122" spans="1:24" ht="15.75" customHeight="1" x14ac:dyDescent="0.25">
      <c r="A122" s="16" t="s">
        <v>7</v>
      </c>
      <c r="B122" s="36">
        <v>49246.61</v>
      </c>
      <c r="C122" s="36">
        <v>27775.64</v>
      </c>
      <c r="D122" s="36">
        <v>36729.750000000007</v>
      </c>
      <c r="E122" s="36">
        <v>56579.209999999992</v>
      </c>
      <c r="F122" s="36">
        <v>50252.08</v>
      </c>
      <c r="G122" s="36">
        <v>54876.55</v>
      </c>
      <c r="H122" s="36">
        <v>48260.15</v>
      </c>
      <c r="I122" s="36">
        <v>48442.43</v>
      </c>
      <c r="J122" s="36">
        <v>60069.5</v>
      </c>
      <c r="K122" s="50">
        <v>81759.259999999995</v>
      </c>
      <c r="L122" s="36">
        <v>24221.919999999998</v>
      </c>
      <c r="M122" s="36">
        <v>49395.28</v>
      </c>
      <c r="N122" s="32"/>
      <c r="O122" s="36">
        <f t="shared" si="5"/>
        <v>587608.38</v>
      </c>
      <c r="P122" s="36">
        <f>O122+3538303</f>
        <v>4125911.38</v>
      </c>
      <c r="Q122" s="32"/>
      <c r="R122" s="38"/>
      <c r="S122" s="38"/>
      <c r="T122" s="38"/>
      <c r="U122" s="32"/>
      <c r="V122" s="32"/>
      <c r="W122" s="32"/>
      <c r="X122" s="32"/>
    </row>
    <row r="123" spans="1:24" ht="15.75" customHeight="1" x14ac:dyDescent="0.25">
      <c r="A123" s="13" t="s">
        <v>10</v>
      </c>
      <c r="B123" s="33">
        <v>0</v>
      </c>
      <c r="C123" s="33">
        <v>0</v>
      </c>
      <c r="D123" s="33">
        <v>0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49" t="s">
        <v>43</v>
      </c>
      <c r="L123" s="49" t="s">
        <v>43</v>
      </c>
      <c r="M123" s="33">
        <v>0</v>
      </c>
      <c r="N123" s="32"/>
      <c r="O123" s="33"/>
      <c r="P123" s="33"/>
      <c r="Q123" s="32"/>
      <c r="R123" s="38"/>
      <c r="S123" s="38"/>
      <c r="T123" s="38"/>
      <c r="U123" s="32"/>
      <c r="V123" s="32"/>
      <c r="W123" s="32"/>
      <c r="X123" s="32"/>
    </row>
    <row r="124" spans="1:24" ht="15.75" customHeight="1" x14ac:dyDescent="0.25">
      <c r="A124" s="16" t="s">
        <v>5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50">
        <v>0</v>
      </c>
      <c r="L124" s="36">
        <v>0</v>
      </c>
      <c r="M124" s="36">
        <v>0</v>
      </c>
      <c r="N124" s="32"/>
      <c r="O124" s="36">
        <f t="shared" si="5"/>
        <v>0</v>
      </c>
      <c r="P124" s="36">
        <f>O124</f>
        <v>0</v>
      </c>
      <c r="Q124" s="32"/>
      <c r="R124" s="38"/>
      <c r="S124" s="38"/>
      <c r="T124" s="38"/>
      <c r="U124" s="32"/>
      <c r="V124" s="32"/>
      <c r="W124" s="32"/>
      <c r="X124" s="32"/>
    </row>
    <row r="125" spans="1:24" ht="15.75" customHeight="1" x14ac:dyDescent="0.25">
      <c r="A125" s="16" t="s">
        <v>6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50">
        <v>0</v>
      </c>
      <c r="L125" s="36">
        <v>0</v>
      </c>
      <c r="M125" s="36">
        <v>0</v>
      </c>
      <c r="N125" s="32"/>
      <c r="O125" s="36">
        <f t="shared" si="5"/>
        <v>0</v>
      </c>
      <c r="P125" s="36">
        <f>O125</f>
        <v>0</v>
      </c>
      <c r="Q125" s="32"/>
      <c r="R125" s="38"/>
      <c r="S125" s="38"/>
      <c r="T125" s="38"/>
      <c r="U125" s="32"/>
      <c r="V125" s="32"/>
      <c r="W125" s="32"/>
      <c r="X125" s="32"/>
    </row>
    <row r="126" spans="1:24" ht="15.75" customHeight="1" x14ac:dyDescent="0.25">
      <c r="A126" s="16" t="s">
        <v>7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50">
        <v>0</v>
      </c>
      <c r="L126" s="36">
        <v>0</v>
      </c>
      <c r="M126" s="36">
        <v>0</v>
      </c>
      <c r="N126" s="32"/>
      <c r="O126" s="36">
        <f t="shared" si="5"/>
        <v>0</v>
      </c>
      <c r="P126" s="36">
        <f>O126</f>
        <v>0</v>
      </c>
      <c r="Q126" s="32"/>
      <c r="R126" s="38"/>
      <c r="S126" s="38"/>
      <c r="T126" s="38"/>
      <c r="U126" s="32"/>
      <c r="V126" s="32"/>
      <c r="W126" s="32"/>
      <c r="X126" s="32"/>
    </row>
    <row r="127" spans="1:24" ht="15.75" customHeight="1" x14ac:dyDescent="0.25">
      <c r="A127" s="13" t="s">
        <v>45</v>
      </c>
      <c r="B127" s="33">
        <v>1</v>
      </c>
      <c r="C127" s="33">
        <v>1</v>
      </c>
      <c r="D127" s="33">
        <v>1</v>
      </c>
      <c r="E127" s="33">
        <v>1</v>
      </c>
      <c r="F127" s="33">
        <v>1</v>
      </c>
      <c r="G127" s="33">
        <v>1</v>
      </c>
      <c r="H127" s="33">
        <v>1</v>
      </c>
      <c r="I127" s="33">
        <v>1</v>
      </c>
      <c r="J127" s="33">
        <v>1.04</v>
      </c>
      <c r="K127" s="49">
        <v>1.1599999999999999</v>
      </c>
      <c r="L127" s="33">
        <v>1.2</v>
      </c>
      <c r="M127" s="33">
        <v>0.91999999999999993</v>
      </c>
      <c r="N127" s="32"/>
      <c r="O127" s="33"/>
      <c r="P127" s="33"/>
      <c r="Q127" s="32"/>
      <c r="R127" s="38"/>
      <c r="S127" s="38"/>
      <c r="T127" s="38"/>
      <c r="U127" s="32"/>
      <c r="V127" s="32"/>
      <c r="W127" s="32"/>
      <c r="X127" s="32"/>
    </row>
    <row r="128" spans="1:24" ht="15.75" customHeight="1" x14ac:dyDescent="0.25">
      <c r="A128" s="16" t="s">
        <v>5</v>
      </c>
      <c r="B128" s="36">
        <v>69598.5</v>
      </c>
      <c r="C128" s="36">
        <v>84554.5</v>
      </c>
      <c r="D128" s="36">
        <v>59722</v>
      </c>
      <c r="E128" s="36">
        <v>59224</v>
      </c>
      <c r="F128" s="36">
        <v>86868</v>
      </c>
      <c r="G128" s="36">
        <v>71067</v>
      </c>
      <c r="H128" s="36">
        <v>59160.5</v>
      </c>
      <c r="I128" s="36">
        <v>67543.5</v>
      </c>
      <c r="J128" s="36">
        <v>107551</v>
      </c>
      <c r="K128" s="50">
        <v>99263</v>
      </c>
      <c r="L128" s="36">
        <v>74529</v>
      </c>
      <c r="M128" s="36">
        <v>39967</v>
      </c>
      <c r="N128" s="32"/>
      <c r="O128" s="36">
        <f>SUM(B128:M128)</f>
        <v>879048</v>
      </c>
      <c r="P128" s="36">
        <f>O128+855268</f>
        <v>1734316</v>
      </c>
      <c r="Q128" s="38"/>
      <c r="R128" s="38"/>
      <c r="S128" s="38"/>
      <c r="T128" s="38"/>
      <c r="U128" s="32"/>
      <c r="V128" s="32"/>
      <c r="W128" s="32"/>
      <c r="X128" s="32"/>
    </row>
    <row r="129" spans="1:24" ht="15.75" customHeight="1" x14ac:dyDescent="0.25">
      <c r="A129" s="16" t="s">
        <v>6</v>
      </c>
      <c r="B129" s="36">
        <v>32015.309999999998</v>
      </c>
      <c r="C129" s="36">
        <v>40586.160000000003</v>
      </c>
      <c r="D129" s="36">
        <v>28666.559999999998</v>
      </c>
      <c r="E129" s="36">
        <v>28427.52</v>
      </c>
      <c r="F129" s="36">
        <v>41696.639999999992</v>
      </c>
      <c r="G129" s="36">
        <v>34112.159999999996</v>
      </c>
      <c r="H129" s="36">
        <v>28397.040000000001</v>
      </c>
      <c r="I129" s="36">
        <v>32420.880000000001</v>
      </c>
      <c r="J129" s="36">
        <v>51624.479999999996</v>
      </c>
      <c r="K129" s="50">
        <v>47646.239999999998</v>
      </c>
      <c r="L129" s="36">
        <v>35773.919999999998</v>
      </c>
      <c r="M129" s="36">
        <v>19184.160000000003</v>
      </c>
      <c r="N129" s="32"/>
      <c r="O129" s="36">
        <f>SUM(B129:M129)</f>
        <v>420551.06999999995</v>
      </c>
      <c r="P129" s="36">
        <f>O129+393423</f>
        <v>813974.07</v>
      </c>
      <c r="Q129" s="38"/>
      <c r="R129" s="38"/>
      <c r="S129" s="38"/>
      <c r="T129" s="38"/>
      <c r="U129" s="32"/>
      <c r="V129" s="32"/>
      <c r="W129" s="32"/>
      <c r="X129" s="32"/>
    </row>
    <row r="130" spans="1:24" ht="15.75" customHeight="1" x14ac:dyDescent="0.25">
      <c r="A130" s="16" t="s">
        <v>7</v>
      </c>
      <c r="B130" s="36">
        <v>1391.97</v>
      </c>
      <c r="C130" s="36">
        <v>1691.0899999999997</v>
      </c>
      <c r="D130" s="36">
        <v>1194.44</v>
      </c>
      <c r="E130" s="36">
        <v>1184.48</v>
      </c>
      <c r="F130" s="36">
        <v>1737.36</v>
      </c>
      <c r="G130" s="36">
        <v>1421.3400000000001</v>
      </c>
      <c r="H130" s="36">
        <v>1183.2099999999998</v>
      </c>
      <c r="I130" s="36">
        <v>1350.87</v>
      </c>
      <c r="J130" s="36">
        <v>2151.02</v>
      </c>
      <c r="K130" s="50">
        <v>1985.2600000000002</v>
      </c>
      <c r="L130" s="36">
        <v>1490.5800000000002</v>
      </c>
      <c r="M130" s="36">
        <v>799.33999999999992</v>
      </c>
      <c r="N130" s="32"/>
      <c r="O130" s="36">
        <f>SUM(B130:M130)</f>
        <v>17580.96</v>
      </c>
      <c r="P130" s="36">
        <f>O130+17105</f>
        <v>34685.96</v>
      </c>
      <c r="Q130" s="38"/>
      <c r="R130" s="38"/>
      <c r="S130" s="38"/>
      <c r="T130" s="38"/>
      <c r="U130" s="32"/>
      <c r="V130" s="32"/>
      <c r="W130" s="32"/>
      <c r="X130" s="32"/>
    </row>
    <row r="131" spans="1:24" ht="15.75" customHeight="1" x14ac:dyDescent="0.25">
      <c r="A131" s="21" t="s">
        <v>11</v>
      </c>
      <c r="B131" s="33">
        <v>0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2"/>
      <c r="O131" s="36"/>
      <c r="P131" s="36"/>
      <c r="Q131" s="38"/>
      <c r="R131" s="38"/>
      <c r="S131" s="38"/>
      <c r="T131" s="38"/>
      <c r="U131" s="32"/>
      <c r="V131" s="32"/>
      <c r="W131" s="32"/>
      <c r="X131" s="32"/>
    </row>
    <row r="132" spans="1:24" ht="15.75" customHeight="1" x14ac:dyDescent="0.25">
      <c r="A132" s="22" t="s">
        <v>5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2"/>
      <c r="O132" s="36">
        <f t="shared" ref="O132:O134" si="6">SUM(B132:M132)</f>
        <v>0</v>
      </c>
      <c r="P132" s="36">
        <f>O132</f>
        <v>0</v>
      </c>
      <c r="Q132" s="38"/>
      <c r="R132" s="38"/>
      <c r="S132" s="38"/>
      <c r="T132" s="38"/>
      <c r="U132" s="32"/>
      <c r="V132" s="32"/>
      <c r="W132" s="32"/>
      <c r="X132" s="32"/>
    </row>
    <row r="133" spans="1:24" ht="15.75" customHeight="1" x14ac:dyDescent="0.25">
      <c r="A133" s="16" t="s">
        <v>6</v>
      </c>
      <c r="B133" s="36">
        <v>0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2"/>
      <c r="O133" s="36">
        <f t="shared" si="6"/>
        <v>0</v>
      </c>
      <c r="P133" s="36">
        <f>O133</f>
        <v>0</v>
      </c>
      <c r="Q133" s="38"/>
      <c r="R133" s="38"/>
      <c r="S133" s="38"/>
      <c r="T133" s="38"/>
      <c r="U133" s="32"/>
      <c r="V133" s="32"/>
      <c r="W133" s="32"/>
      <c r="X133" s="32"/>
    </row>
    <row r="134" spans="1:24" ht="15.75" customHeight="1" x14ac:dyDescent="0.25">
      <c r="A134" s="22" t="s">
        <v>7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2"/>
      <c r="O134" s="36">
        <f t="shared" si="6"/>
        <v>0</v>
      </c>
      <c r="P134" s="36">
        <f>O134</f>
        <v>0</v>
      </c>
      <c r="Q134" s="38"/>
      <c r="R134" s="38"/>
      <c r="S134" s="38"/>
      <c r="T134" s="38"/>
      <c r="U134" s="32"/>
      <c r="V134" s="32"/>
      <c r="W134" s="32"/>
      <c r="X134" s="32"/>
    </row>
    <row r="135" spans="1:24" ht="15.75" customHeight="1" x14ac:dyDescent="0.25">
      <c r="B135" s="36"/>
      <c r="C135" s="36"/>
      <c r="D135" s="36"/>
      <c r="E135" s="36"/>
      <c r="F135" s="36"/>
      <c r="G135" s="36"/>
      <c r="H135" s="32"/>
      <c r="I135" s="36"/>
      <c r="J135" s="36"/>
      <c r="K135" s="50"/>
      <c r="L135" s="50"/>
      <c r="M135" s="36"/>
      <c r="N135" s="32"/>
      <c r="O135" s="36"/>
      <c r="P135" s="36"/>
      <c r="Q135" s="32"/>
      <c r="R135" s="38"/>
      <c r="S135" s="38"/>
      <c r="T135" s="38"/>
      <c r="U135" s="32"/>
      <c r="V135" s="32"/>
      <c r="W135" s="32"/>
      <c r="X135" s="32"/>
    </row>
    <row r="136" spans="1:24" ht="15.75" customHeight="1" x14ac:dyDescent="0.25">
      <c r="A136" s="11" t="s">
        <v>17</v>
      </c>
      <c r="B136" s="33"/>
      <c r="C136" s="33"/>
      <c r="D136" s="33"/>
      <c r="E136" s="33"/>
      <c r="F136" s="33"/>
      <c r="G136" s="33"/>
      <c r="H136" s="32"/>
      <c r="I136" s="33"/>
      <c r="J136" s="33"/>
      <c r="K136" s="49"/>
      <c r="L136" s="33"/>
      <c r="M136" s="33"/>
      <c r="N136" s="32"/>
      <c r="O136" s="33"/>
      <c r="P136" s="33"/>
      <c r="Q136" s="32"/>
      <c r="R136" s="38"/>
      <c r="S136" s="38"/>
      <c r="T136" s="38"/>
      <c r="U136" s="32"/>
      <c r="V136" s="32"/>
      <c r="W136" s="32"/>
      <c r="X136" s="32"/>
    </row>
    <row r="137" spans="1:24" ht="15.75" customHeight="1" x14ac:dyDescent="0.25">
      <c r="A137" s="13" t="s">
        <v>4</v>
      </c>
      <c r="B137" s="33">
        <v>81</v>
      </c>
      <c r="C137" s="33">
        <v>81</v>
      </c>
      <c r="D137" s="33">
        <v>83</v>
      </c>
      <c r="E137" s="33">
        <v>81</v>
      </c>
      <c r="F137" s="33">
        <v>81</v>
      </c>
      <c r="G137" s="33">
        <v>81</v>
      </c>
      <c r="H137" s="33">
        <v>81</v>
      </c>
      <c r="I137" s="33">
        <v>81</v>
      </c>
      <c r="J137" s="33">
        <v>81</v>
      </c>
      <c r="K137" s="49">
        <v>81</v>
      </c>
      <c r="L137" s="33">
        <v>81</v>
      </c>
      <c r="M137" s="33">
        <v>81</v>
      </c>
      <c r="N137" s="32"/>
      <c r="O137" s="33"/>
      <c r="P137" s="33"/>
      <c r="Q137" s="32"/>
      <c r="R137" s="38"/>
      <c r="S137" s="38"/>
      <c r="T137" s="38"/>
      <c r="U137" s="32"/>
      <c r="V137" s="32"/>
      <c r="W137" s="32"/>
      <c r="X137" s="32"/>
    </row>
    <row r="138" spans="1:24" ht="15.75" customHeight="1" x14ac:dyDescent="0.25">
      <c r="A138" s="16" t="s">
        <v>5</v>
      </c>
      <c r="B138" s="36">
        <v>3518373.0700000003</v>
      </c>
      <c r="C138" s="36">
        <v>3283432.21</v>
      </c>
      <c r="D138" s="36">
        <v>3859988</v>
      </c>
      <c r="E138" s="36">
        <v>3782901.08</v>
      </c>
      <c r="F138" s="36">
        <v>3494309.5</v>
      </c>
      <c r="G138" s="36">
        <v>3611370.9</v>
      </c>
      <c r="H138" s="36">
        <v>3299857.8100000005</v>
      </c>
      <c r="I138" s="36">
        <v>3893637.7600000007</v>
      </c>
      <c r="J138" s="36">
        <v>4343662.84</v>
      </c>
      <c r="K138" s="50">
        <v>4917778.67</v>
      </c>
      <c r="L138" s="36">
        <v>4227721.58</v>
      </c>
      <c r="M138" s="36">
        <v>4141889.72</v>
      </c>
      <c r="N138" s="32"/>
      <c r="O138" s="36">
        <f>SUM(B138:M138)</f>
        <v>46374923.140000001</v>
      </c>
      <c r="P138" s="36">
        <f>O138+249933547</f>
        <v>296308470.13999999</v>
      </c>
      <c r="Q138" s="32"/>
      <c r="R138" s="38"/>
      <c r="S138" s="38"/>
      <c r="T138" s="38"/>
      <c r="U138" s="32"/>
      <c r="V138" s="32"/>
      <c r="W138" s="32"/>
      <c r="X138" s="32"/>
    </row>
    <row r="139" spans="1:24" ht="15.75" customHeight="1" x14ac:dyDescent="0.25">
      <c r="A139" s="16" t="s">
        <v>6</v>
      </c>
      <c r="B139" s="36">
        <v>447022.22000000003</v>
      </c>
      <c r="C139" s="36">
        <v>483836.49000000005</v>
      </c>
      <c r="D139" s="36">
        <v>554478.91</v>
      </c>
      <c r="E139" s="36">
        <v>529606.16</v>
      </c>
      <c r="F139" s="36">
        <v>489203.34</v>
      </c>
      <c r="G139" s="36">
        <v>505591.93</v>
      </c>
      <c r="H139" s="36">
        <v>461980.10999999993</v>
      </c>
      <c r="I139" s="36">
        <v>545109.28</v>
      </c>
      <c r="J139" s="36">
        <v>608112.80999999994</v>
      </c>
      <c r="K139" s="50">
        <v>688489.03</v>
      </c>
      <c r="L139" s="36">
        <v>591881.01</v>
      </c>
      <c r="M139" s="36">
        <v>579864.56999999995</v>
      </c>
      <c r="N139" s="32"/>
      <c r="O139" s="36">
        <f>SUM(B139:M139)</f>
        <v>6485175.8600000003</v>
      </c>
      <c r="P139" s="36">
        <f>O139+32368859</f>
        <v>38854034.859999999</v>
      </c>
      <c r="Q139" s="32"/>
      <c r="R139" s="38"/>
      <c r="S139" s="38"/>
      <c r="T139" s="38"/>
      <c r="U139" s="32"/>
      <c r="V139" s="32"/>
      <c r="W139" s="32"/>
      <c r="X139" s="32"/>
    </row>
    <row r="140" spans="1:24" ht="15.75" customHeight="1" x14ac:dyDescent="0.25">
      <c r="A140" s="16" t="s">
        <v>7</v>
      </c>
      <c r="B140" s="36">
        <v>70367.48000000001</v>
      </c>
      <c r="C140" s="36">
        <v>65668.649999999994</v>
      </c>
      <c r="D140" s="36">
        <v>77199.78</v>
      </c>
      <c r="E140" s="36">
        <v>75658.009999999995</v>
      </c>
      <c r="F140" s="36">
        <v>69886.2</v>
      </c>
      <c r="G140" s="36">
        <v>72227.44</v>
      </c>
      <c r="H140" s="36">
        <v>65997.179999999993</v>
      </c>
      <c r="I140" s="36">
        <v>77872.75</v>
      </c>
      <c r="J140" s="36">
        <v>86873.27</v>
      </c>
      <c r="K140" s="50">
        <v>98355.58</v>
      </c>
      <c r="L140" s="36">
        <v>84554.43</v>
      </c>
      <c r="M140" s="36">
        <v>82837.81</v>
      </c>
      <c r="N140" s="32"/>
      <c r="O140" s="36">
        <f>SUM(B140:M140)</f>
        <v>927498.58000000007</v>
      </c>
      <c r="P140" s="36">
        <f>O140+4998672</f>
        <v>5926170.5800000001</v>
      </c>
      <c r="Q140" s="32"/>
      <c r="R140" s="38"/>
      <c r="S140" s="38"/>
      <c r="T140" s="38"/>
      <c r="U140" s="32"/>
      <c r="V140" s="32"/>
      <c r="W140" s="32"/>
      <c r="X140" s="32"/>
    </row>
    <row r="141" spans="1:24" ht="15.75" customHeight="1" x14ac:dyDescent="0.25">
      <c r="A141" s="13" t="s">
        <v>8</v>
      </c>
      <c r="B141" s="33">
        <v>9</v>
      </c>
      <c r="C141" s="33">
        <v>9</v>
      </c>
      <c r="D141" s="33">
        <v>9</v>
      </c>
      <c r="E141" s="33">
        <v>9</v>
      </c>
      <c r="F141" s="33">
        <v>9</v>
      </c>
      <c r="G141" s="33">
        <v>9</v>
      </c>
      <c r="H141" s="33">
        <v>9</v>
      </c>
      <c r="I141" s="33">
        <v>9</v>
      </c>
      <c r="J141" s="33">
        <v>9</v>
      </c>
      <c r="K141" s="49">
        <v>9</v>
      </c>
      <c r="L141" s="33">
        <v>9</v>
      </c>
      <c r="M141" s="33">
        <v>9</v>
      </c>
      <c r="N141" s="32"/>
      <c r="O141" s="33"/>
      <c r="P141" s="33"/>
      <c r="Q141" s="32"/>
      <c r="R141" s="38"/>
      <c r="S141" s="38"/>
      <c r="T141" s="38"/>
      <c r="U141" s="32"/>
      <c r="V141" s="32"/>
      <c r="W141" s="32"/>
      <c r="X141" s="32"/>
    </row>
    <row r="142" spans="1:24" ht="15.75" customHeight="1" x14ac:dyDescent="0.25">
      <c r="A142" s="16" t="s">
        <v>5</v>
      </c>
      <c r="B142" s="36">
        <v>133168</v>
      </c>
      <c r="C142" s="36">
        <v>111666</v>
      </c>
      <c r="D142" s="36">
        <v>102867</v>
      </c>
      <c r="E142" s="36">
        <v>101887</v>
      </c>
      <c r="F142" s="36">
        <v>89966</v>
      </c>
      <c r="G142" s="36">
        <v>85782</v>
      </c>
      <c r="H142" s="36">
        <v>88900</v>
      </c>
      <c r="I142" s="36">
        <v>89339</v>
      </c>
      <c r="J142" s="36">
        <v>96685</v>
      </c>
      <c r="K142" s="50">
        <v>88626</v>
      </c>
      <c r="L142" s="36">
        <v>95004</v>
      </c>
      <c r="M142" s="36">
        <v>98360</v>
      </c>
      <c r="N142" s="32"/>
      <c r="O142" s="36">
        <f>SUM(B142:M142)</f>
        <v>1182250</v>
      </c>
      <c r="P142" s="36">
        <f>O142+12687685</f>
        <v>13869935</v>
      </c>
      <c r="Q142" s="32"/>
      <c r="R142" s="38"/>
      <c r="S142" s="38"/>
      <c r="T142" s="38"/>
      <c r="U142" s="32"/>
      <c r="V142" s="32"/>
      <c r="W142" s="32"/>
      <c r="X142" s="32"/>
    </row>
    <row r="143" spans="1:24" ht="15.75" customHeight="1" x14ac:dyDescent="0.25">
      <c r="A143" s="16" t="s">
        <v>6</v>
      </c>
      <c r="B143" s="36">
        <v>15980.16</v>
      </c>
      <c r="C143" s="36">
        <v>15633.240000000002</v>
      </c>
      <c r="D143" s="36">
        <v>14401.38</v>
      </c>
      <c r="E143" s="36">
        <v>14264.18</v>
      </c>
      <c r="F143" s="36">
        <v>12595.240000000002</v>
      </c>
      <c r="G143" s="36">
        <v>12009.480000000001</v>
      </c>
      <c r="H143" s="36">
        <v>12446</v>
      </c>
      <c r="I143" s="36">
        <v>12507.460000000001</v>
      </c>
      <c r="J143" s="36">
        <v>13535.900000000001</v>
      </c>
      <c r="K143" s="50">
        <v>12407.64</v>
      </c>
      <c r="L143" s="36">
        <v>13300.56</v>
      </c>
      <c r="M143" s="36">
        <v>13770.400000000001</v>
      </c>
      <c r="N143" s="32"/>
      <c r="O143" s="36">
        <f>SUM(B143:M143)</f>
        <v>162851.63999999998</v>
      </c>
      <c r="P143" s="36">
        <f>O143+1648763</f>
        <v>1811614.64</v>
      </c>
      <c r="Q143" s="32"/>
      <c r="R143" s="38"/>
      <c r="S143" s="38"/>
      <c r="T143" s="38"/>
      <c r="U143" s="32"/>
      <c r="V143" s="32"/>
      <c r="W143" s="32"/>
      <c r="X143" s="32"/>
    </row>
    <row r="144" spans="1:24" ht="15.75" customHeight="1" x14ac:dyDescent="0.25">
      <c r="A144" s="16" t="s">
        <v>7</v>
      </c>
      <c r="B144" s="36">
        <v>2663.3599999999997</v>
      </c>
      <c r="C144" s="36">
        <v>2233.3200000000002</v>
      </c>
      <c r="D144" s="36">
        <v>2057.34</v>
      </c>
      <c r="E144" s="36">
        <v>2037.74</v>
      </c>
      <c r="F144" s="36">
        <v>1799.32</v>
      </c>
      <c r="G144" s="36">
        <v>1715.6399999999999</v>
      </c>
      <c r="H144" s="36">
        <v>1778</v>
      </c>
      <c r="I144" s="36">
        <v>1786.78</v>
      </c>
      <c r="J144" s="36">
        <v>1933.6999999999998</v>
      </c>
      <c r="K144" s="50">
        <v>1772.52</v>
      </c>
      <c r="L144" s="36">
        <v>1900.08</v>
      </c>
      <c r="M144" s="36">
        <v>1967.2</v>
      </c>
      <c r="N144" s="32"/>
      <c r="O144" s="36">
        <f>SUM(B144:M144)</f>
        <v>23645.000000000004</v>
      </c>
      <c r="P144" s="36">
        <f>O144+253754</f>
        <v>277399</v>
      </c>
      <c r="Q144" s="32"/>
      <c r="R144" s="38"/>
      <c r="S144" s="38"/>
      <c r="T144" s="38"/>
      <c r="U144" s="32"/>
      <c r="V144" s="32"/>
      <c r="W144" s="32"/>
      <c r="X144" s="32"/>
    </row>
    <row r="145" spans="1:24" ht="15.75" customHeight="1" x14ac:dyDescent="0.25">
      <c r="A145" s="13" t="s">
        <v>9</v>
      </c>
      <c r="B145" s="33">
        <v>70</v>
      </c>
      <c r="C145" s="33">
        <v>70</v>
      </c>
      <c r="D145" s="33">
        <v>70</v>
      </c>
      <c r="E145" s="33">
        <v>70</v>
      </c>
      <c r="F145" s="33">
        <v>70</v>
      </c>
      <c r="G145" s="33">
        <v>70</v>
      </c>
      <c r="H145" s="33">
        <v>70</v>
      </c>
      <c r="I145" s="33">
        <v>70</v>
      </c>
      <c r="J145" s="33">
        <v>70</v>
      </c>
      <c r="K145" s="49">
        <v>70</v>
      </c>
      <c r="L145" s="33">
        <v>70</v>
      </c>
      <c r="M145" s="33">
        <v>70</v>
      </c>
      <c r="N145" s="32"/>
      <c r="O145" s="33"/>
      <c r="P145" s="33"/>
      <c r="Q145" s="32"/>
      <c r="R145" s="38"/>
      <c r="S145" s="38"/>
      <c r="T145" s="38"/>
      <c r="U145" s="32"/>
      <c r="V145" s="32"/>
      <c r="W145" s="32"/>
      <c r="X145" s="32"/>
    </row>
    <row r="146" spans="1:24" ht="15.75" customHeight="1" x14ac:dyDescent="0.25">
      <c r="A146" s="16" t="s">
        <v>5</v>
      </c>
      <c r="B146" s="36">
        <v>3312212.5700000003</v>
      </c>
      <c r="C146" s="36">
        <v>3100719.21</v>
      </c>
      <c r="D146" s="36">
        <v>3700167.12</v>
      </c>
      <c r="E146" s="36">
        <v>3597017.26</v>
      </c>
      <c r="F146" s="36">
        <v>3338501.56</v>
      </c>
      <c r="G146" s="36">
        <v>3451484.85</v>
      </c>
      <c r="H146" s="36">
        <v>3131412.15</v>
      </c>
      <c r="I146" s="36">
        <v>3752722.27</v>
      </c>
      <c r="J146" s="36">
        <v>4154760.48</v>
      </c>
      <c r="K146" s="50">
        <v>4777996.5399999991</v>
      </c>
      <c r="L146" s="36">
        <v>4033784.4899999998</v>
      </c>
      <c r="M146" s="36">
        <v>3936741.4699999997</v>
      </c>
      <c r="N146" s="32"/>
      <c r="O146" s="36">
        <f t="shared" ref="O146:O156" si="7">SUM(B146:M146)</f>
        <v>44287519.969999999</v>
      </c>
      <c r="P146" s="36">
        <f>O146+234975912</f>
        <v>279263431.97000003</v>
      </c>
      <c r="Q146" s="32"/>
      <c r="R146" s="38"/>
      <c r="S146" s="38"/>
      <c r="T146" s="38"/>
      <c r="U146" s="32"/>
      <c r="V146" s="32"/>
      <c r="W146" s="32"/>
      <c r="X146" s="32"/>
    </row>
    <row r="147" spans="1:24" ht="15.75" customHeight="1" x14ac:dyDescent="0.25">
      <c r="A147" s="16" t="s">
        <v>6</v>
      </c>
      <c r="B147" s="36">
        <v>397465.51</v>
      </c>
      <c r="C147" s="36">
        <v>434100.69000000006</v>
      </c>
      <c r="D147" s="36">
        <v>518023.4</v>
      </c>
      <c r="E147" s="36">
        <v>503582.42</v>
      </c>
      <c r="F147" s="36">
        <v>467390.23</v>
      </c>
      <c r="G147" s="36">
        <v>483207.89</v>
      </c>
      <c r="H147" s="36">
        <v>438397.71</v>
      </c>
      <c r="I147" s="36">
        <v>525381.1100000001</v>
      </c>
      <c r="J147" s="36">
        <v>581666.48</v>
      </c>
      <c r="K147" s="50">
        <v>668919.53</v>
      </c>
      <c r="L147" s="36">
        <v>564729.82000000007</v>
      </c>
      <c r="M147" s="36">
        <v>551143.81999999995</v>
      </c>
      <c r="N147" s="32"/>
      <c r="O147" s="36">
        <f t="shared" si="7"/>
        <v>6134008.6100000003</v>
      </c>
      <c r="P147" s="36">
        <f>O147+29675920</f>
        <v>35809928.609999999</v>
      </c>
      <c r="Q147" s="32"/>
      <c r="R147" s="38"/>
      <c r="S147" s="38"/>
      <c r="T147" s="38"/>
      <c r="U147" s="32"/>
      <c r="V147" s="32"/>
      <c r="W147" s="32"/>
      <c r="X147" s="32"/>
    </row>
    <row r="148" spans="1:24" ht="15.75" customHeight="1" x14ac:dyDescent="0.25">
      <c r="A148" s="16" t="s">
        <v>7</v>
      </c>
      <c r="B148" s="36">
        <v>66244.27</v>
      </c>
      <c r="C148" s="36">
        <v>62014.39</v>
      </c>
      <c r="D148" s="36">
        <v>74003.360000000001</v>
      </c>
      <c r="E148" s="36">
        <v>71940.350000000006</v>
      </c>
      <c r="F148" s="36">
        <v>66770.040000000008</v>
      </c>
      <c r="G148" s="36">
        <v>69029.709999999992</v>
      </c>
      <c r="H148" s="36">
        <v>62628.259999999995</v>
      </c>
      <c r="I148" s="36">
        <v>75054.44</v>
      </c>
      <c r="J148" s="36">
        <v>83095.22</v>
      </c>
      <c r="K148" s="50">
        <v>95559.939999999988</v>
      </c>
      <c r="L148" s="36">
        <v>80675.69</v>
      </c>
      <c r="M148" s="36">
        <v>78734.84</v>
      </c>
      <c r="N148" s="32"/>
      <c r="O148" s="36">
        <f t="shared" si="7"/>
        <v>885750.50999999989</v>
      </c>
      <c r="P148" s="36">
        <f>O148+4699519</f>
        <v>5585269.5099999998</v>
      </c>
      <c r="Q148" s="32"/>
      <c r="R148" s="38"/>
      <c r="S148" s="38"/>
      <c r="T148" s="38"/>
      <c r="U148" s="32"/>
      <c r="V148" s="32"/>
      <c r="W148" s="32"/>
      <c r="X148" s="32"/>
    </row>
    <row r="149" spans="1:24" ht="15.75" customHeight="1" x14ac:dyDescent="0.25">
      <c r="A149" s="13" t="s">
        <v>10</v>
      </c>
      <c r="B149" s="33">
        <v>0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49" t="s">
        <v>43</v>
      </c>
      <c r="L149" s="49" t="s">
        <v>43</v>
      </c>
      <c r="M149" s="33">
        <v>0</v>
      </c>
      <c r="N149" s="32"/>
      <c r="O149" s="33"/>
      <c r="P149" s="33"/>
      <c r="Q149" s="32"/>
      <c r="R149" s="38"/>
      <c r="S149" s="38"/>
      <c r="T149" s="38"/>
      <c r="U149" s="32"/>
      <c r="V149" s="32"/>
      <c r="W149" s="32"/>
      <c r="X149" s="32"/>
    </row>
    <row r="150" spans="1:24" ht="15.75" customHeight="1" x14ac:dyDescent="0.25">
      <c r="A150" s="16" t="s">
        <v>5</v>
      </c>
      <c r="B150" s="36">
        <v>0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50">
        <v>0</v>
      </c>
      <c r="L150" s="50">
        <v>0</v>
      </c>
      <c r="M150" s="36">
        <v>0</v>
      </c>
      <c r="N150" s="32"/>
      <c r="O150" s="36">
        <f t="shared" si="7"/>
        <v>0</v>
      </c>
      <c r="P150" s="36">
        <f>O150</f>
        <v>0</v>
      </c>
      <c r="Q150" s="32"/>
      <c r="R150" s="38"/>
      <c r="S150" s="38"/>
      <c r="T150" s="38"/>
      <c r="U150" s="32"/>
      <c r="V150" s="32"/>
      <c r="W150" s="32"/>
      <c r="X150" s="32"/>
    </row>
    <row r="151" spans="1:24" ht="15.75" customHeight="1" x14ac:dyDescent="0.25">
      <c r="A151" s="16" t="s">
        <v>6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50">
        <v>0</v>
      </c>
      <c r="L151" s="50">
        <v>0</v>
      </c>
      <c r="M151" s="36">
        <v>0</v>
      </c>
      <c r="N151" s="32"/>
      <c r="O151" s="36">
        <f t="shared" si="7"/>
        <v>0</v>
      </c>
      <c r="P151" s="36">
        <f>O151</f>
        <v>0</v>
      </c>
      <c r="Q151" s="32"/>
      <c r="R151" s="38"/>
      <c r="S151" s="38"/>
      <c r="T151" s="38"/>
      <c r="U151" s="32"/>
      <c r="V151" s="32"/>
      <c r="W151" s="32"/>
      <c r="X151" s="32"/>
    </row>
    <row r="152" spans="1:24" ht="15.75" customHeight="1" x14ac:dyDescent="0.25">
      <c r="A152" s="16" t="s">
        <v>7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50">
        <v>0</v>
      </c>
      <c r="L152" s="50">
        <v>0</v>
      </c>
      <c r="M152" s="36">
        <v>0</v>
      </c>
      <c r="N152" s="32"/>
      <c r="O152" s="36">
        <f t="shared" si="7"/>
        <v>0</v>
      </c>
      <c r="P152" s="36">
        <f>O152</f>
        <v>0</v>
      </c>
      <c r="Q152" s="32"/>
      <c r="R152" s="38"/>
      <c r="S152" s="38"/>
      <c r="T152" s="38"/>
      <c r="U152" s="32"/>
      <c r="V152" s="32"/>
      <c r="W152" s="32"/>
      <c r="X152" s="32"/>
    </row>
    <row r="153" spans="1:24" ht="15.75" customHeight="1" x14ac:dyDescent="0.25">
      <c r="A153" s="13" t="s">
        <v>45</v>
      </c>
      <c r="B153" s="33">
        <v>2</v>
      </c>
      <c r="C153" s="33">
        <v>2</v>
      </c>
      <c r="D153" s="33">
        <v>2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49" t="s">
        <v>43</v>
      </c>
      <c r="L153" s="49" t="s">
        <v>43</v>
      </c>
      <c r="M153" s="33">
        <v>0</v>
      </c>
      <c r="N153" s="32"/>
      <c r="O153" s="33"/>
      <c r="P153" s="33"/>
      <c r="Q153" s="32"/>
      <c r="R153" s="38"/>
      <c r="S153" s="38"/>
      <c r="T153" s="38"/>
      <c r="U153" s="32"/>
      <c r="V153" s="32"/>
      <c r="W153" s="32"/>
      <c r="X153" s="32"/>
    </row>
    <row r="154" spans="1:24" ht="15.75" customHeight="1" x14ac:dyDescent="0.25">
      <c r="A154" s="16" t="s">
        <v>5</v>
      </c>
      <c r="B154" s="36">
        <v>72992.5</v>
      </c>
      <c r="C154" s="36">
        <v>71047</v>
      </c>
      <c r="D154" s="36">
        <v>41413.5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50">
        <v>0</v>
      </c>
      <c r="L154" s="50">
        <v>0</v>
      </c>
      <c r="M154" s="36">
        <v>0</v>
      </c>
      <c r="N154" s="32"/>
      <c r="O154" s="36">
        <f t="shared" si="7"/>
        <v>185453</v>
      </c>
      <c r="P154" s="36">
        <f>O154+2269949</f>
        <v>2455402</v>
      </c>
      <c r="Q154" s="38"/>
      <c r="R154" s="38"/>
      <c r="S154" s="38"/>
      <c r="T154" s="38"/>
      <c r="U154" s="32"/>
      <c r="V154" s="32"/>
      <c r="W154" s="32"/>
      <c r="X154" s="32"/>
    </row>
    <row r="155" spans="1:24" ht="15.75" customHeight="1" x14ac:dyDescent="0.25">
      <c r="A155" s="16" t="s">
        <v>6</v>
      </c>
      <c r="B155" s="36">
        <v>33576.550000000003</v>
      </c>
      <c r="C155" s="36">
        <v>34102.559999999998</v>
      </c>
      <c r="D155" s="36">
        <v>19878.480000000003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50">
        <v>0</v>
      </c>
      <c r="L155" s="50">
        <v>0</v>
      </c>
      <c r="M155" s="36">
        <v>0</v>
      </c>
      <c r="N155" s="32"/>
      <c r="O155" s="36">
        <f t="shared" si="7"/>
        <v>87557.59</v>
      </c>
      <c r="P155" s="36">
        <f>O155+1044177</f>
        <v>1131734.5900000001</v>
      </c>
      <c r="Q155" s="38"/>
      <c r="R155" s="38"/>
      <c r="S155" s="38"/>
      <c r="T155" s="38"/>
      <c r="U155" s="32"/>
      <c r="V155" s="32"/>
      <c r="W155" s="32"/>
      <c r="X155" s="32"/>
    </row>
    <row r="156" spans="1:24" ht="15.75" customHeight="1" x14ac:dyDescent="0.25">
      <c r="A156" s="16" t="s">
        <v>7</v>
      </c>
      <c r="B156" s="36">
        <v>1459.85</v>
      </c>
      <c r="C156" s="36">
        <v>1420.94</v>
      </c>
      <c r="D156" s="36">
        <v>828.27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50">
        <v>0</v>
      </c>
      <c r="L156" s="50">
        <v>0</v>
      </c>
      <c r="M156" s="36">
        <v>0</v>
      </c>
      <c r="N156" s="32"/>
      <c r="O156" s="36">
        <f t="shared" si="7"/>
        <v>3709.06</v>
      </c>
      <c r="P156" s="36">
        <f>O156+45399</f>
        <v>49108.06</v>
      </c>
      <c r="Q156" s="38"/>
      <c r="R156" s="38"/>
      <c r="S156" s="38"/>
      <c r="T156" s="38"/>
      <c r="U156" s="32"/>
      <c r="V156" s="32"/>
      <c r="W156" s="32"/>
      <c r="X156" s="32"/>
    </row>
    <row r="157" spans="1:24" ht="15.75" customHeight="1" x14ac:dyDescent="0.25">
      <c r="A157" s="21" t="s">
        <v>11</v>
      </c>
      <c r="B157" s="33">
        <v>0</v>
      </c>
      <c r="C157" s="33">
        <v>0</v>
      </c>
      <c r="D157" s="33">
        <v>2</v>
      </c>
      <c r="E157" s="33">
        <v>2</v>
      </c>
      <c r="F157" s="33">
        <v>2</v>
      </c>
      <c r="G157" s="33">
        <v>2</v>
      </c>
      <c r="H157" s="33">
        <v>2</v>
      </c>
      <c r="I157" s="33">
        <v>2</v>
      </c>
      <c r="J157" s="33">
        <v>2</v>
      </c>
      <c r="K157" s="49">
        <v>2</v>
      </c>
      <c r="L157" s="49">
        <v>2</v>
      </c>
      <c r="M157" s="49">
        <v>2</v>
      </c>
      <c r="N157" s="32"/>
      <c r="O157" s="36"/>
      <c r="P157" s="36"/>
      <c r="Q157" s="38"/>
      <c r="R157" s="38"/>
      <c r="S157" s="38"/>
      <c r="T157" s="38"/>
      <c r="U157" s="32"/>
      <c r="V157" s="32"/>
      <c r="W157" s="32"/>
      <c r="X157" s="32"/>
    </row>
    <row r="158" spans="1:24" ht="15.75" customHeight="1" x14ac:dyDescent="0.25">
      <c r="A158" s="22" t="s">
        <v>5</v>
      </c>
      <c r="B158" s="36">
        <v>0</v>
      </c>
      <c r="C158" s="36">
        <v>0</v>
      </c>
      <c r="D158" s="36">
        <v>15540.380000000001</v>
      </c>
      <c r="E158" s="36">
        <v>83996.819999999992</v>
      </c>
      <c r="F158" s="36">
        <v>65841.94</v>
      </c>
      <c r="G158" s="36">
        <v>74104.049999999988</v>
      </c>
      <c r="H158" s="36">
        <v>79545.66</v>
      </c>
      <c r="I158" s="36">
        <v>51576.49</v>
      </c>
      <c r="J158" s="36">
        <v>92217.36</v>
      </c>
      <c r="K158" s="50">
        <v>51156.13</v>
      </c>
      <c r="L158" s="36">
        <v>98933.09</v>
      </c>
      <c r="M158" s="36">
        <v>106788.25</v>
      </c>
      <c r="N158" s="32"/>
      <c r="O158" s="36">
        <f>SUM(B158:M158)</f>
        <v>719700.16999999993</v>
      </c>
      <c r="P158" s="36">
        <f>O158</f>
        <v>719700.16999999993</v>
      </c>
      <c r="Q158" s="38"/>
      <c r="R158" s="38"/>
      <c r="S158" s="38"/>
      <c r="T158" s="38"/>
      <c r="U158" s="32"/>
      <c r="V158" s="32"/>
      <c r="W158" s="32"/>
      <c r="X158" s="32"/>
    </row>
    <row r="159" spans="1:24" ht="15.75" customHeight="1" x14ac:dyDescent="0.25">
      <c r="A159" s="16" t="s">
        <v>6</v>
      </c>
      <c r="B159" s="36">
        <v>0</v>
      </c>
      <c r="C159" s="36">
        <v>0</v>
      </c>
      <c r="D159" s="36">
        <v>2175.65</v>
      </c>
      <c r="E159" s="36">
        <v>11759.56</v>
      </c>
      <c r="F159" s="36">
        <v>9217.869999999999</v>
      </c>
      <c r="G159" s="36">
        <v>10374.560000000001</v>
      </c>
      <c r="H159" s="36">
        <v>11136.4</v>
      </c>
      <c r="I159" s="36">
        <v>7220.7099999999991</v>
      </c>
      <c r="J159" s="36">
        <v>12910.43</v>
      </c>
      <c r="K159" s="50">
        <v>7161.86</v>
      </c>
      <c r="L159" s="36">
        <v>13850.630000000001</v>
      </c>
      <c r="M159" s="36">
        <v>14950.349999999999</v>
      </c>
      <c r="N159" s="32"/>
      <c r="O159" s="36">
        <f>SUM(B159:M159)</f>
        <v>100758.01999999999</v>
      </c>
      <c r="P159" s="36">
        <f>O159</f>
        <v>100758.01999999999</v>
      </c>
      <c r="Q159" s="38"/>
      <c r="R159" s="38"/>
      <c r="S159" s="38"/>
      <c r="T159" s="38"/>
      <c r="U159" s="32"/>
      <c r="V159" s="32"/>
      <c r="W159" s="32"/>
      <c r="X159" s="32"/>
    </row>
    <row r="160" spans="1:24" ht="15.75" customHeight="1" x14ac:dyDescent="0.25">
      <c r="A160" s="22" t="s">
        <v>7</v>
      </c>
      <c r="B160" s="36">
        <v>0</v>
      </c>
      <c r="C160" s="36">
        <v>0</v>
      </c>
      <c r="D160" s="36">
        <v>310.81</v>
      </c>
      <c r="E160" s="36">
        <v>1679.92</v>
      </c>
      <c r="F160" s="36">
        <v>1316.84</v>
      </c>
      <c r="G160" s="36">
        <v>1482.0900000000001</v>
      </c>
      <c r="H160" s="36">
        <v>1590.92</v>
      </c>
      <c r="I160" s="36">
        <v>1031.53</v>
      </c>
      <c r="J160" s="36">
        <v>1844.3500000000001</v>
      </c>
      <c r="K160" s="50">
        <v>1023.12</v>
      </c>
      <c r="L160" s="36">
        <v>1978.6599999999999</v>
      </c>
      <c r="M160" s="36">
        <v>2135.77</v>
      </c>
      <c r="N160" s="32"/>
      <c r="O160" s="36">
        <f>SUM(B160:M160)</f>
        <v>14394.01</v>
      </c>
      <c r="P160" s="36">
        <f>O160</f>
        <v>14394.01</v>
      </c>
      <c r="Q160" s="38"/>
      <c r="R160" s="38"/>
      <c r="S160" s="38"/>
      <c r="T160" s="38"/>
      <c r="U160" s="32"/>
      <c r="V160" s="32"/>
      <c r="W160" s="32"/>
      <c r="X160" s="32"/>
    </row>
    <row r="161" spans="1:24" ht="15.75" customHeight="1" x14ac:dyDescent="0.25">
      <c r="A161" s="16"/>
      <c r="B161" s="36"/>
      <c r="C161" s="36"/>
      <c r="D161" s="36" t="s">
        <v>13</v>
      </c>
      <c r="E161" s="36"/>
      <c r="F161" s="36"/>
      <c r="G161" s="36"/>
      <c r="H161" s="32"/>
      <c r="I161" s="36"/>
      <c r="J161" s="36"/>
      <c r="K161" s="50"/>
      <c r="L161" s="36"/>
      <c r="M161" s="36"/>
      <c r="N161" s="32"/>
      <c r="O161" s="36"/>
      <c r="P161" s="36"/>
      <c r="Q161" s="32"/>
      <c r="R161" s="38"/>
      <c r="S161" s="38"/>
      <c r="T161" s="38"/>
      <c r="U161" s="32"/>
      <c r="V161" s="32"/>
      <c r="W161" s="32"/>
      <c r="X161" s="32"/>
    </row>
    <row r="162" spans="1:24" ht="15.75" customHeight="1" x14ac:dyDescent="0.25">
      <c r="A162" s="11" t="s">
        <v>18</v>
      </c>
      <c r="B162" s="36"/>
      <c r="C162" s="36"/>
      <c r="D162" s="36"/>
      <c r="E162" s="36"/>
      <c r="F162" s="36"/>
      <c r="G162" s="36"/>
      <c r="H162" s="32"/>
      <c r="I162" s="36"/>
      <c r="J162" s="36"/>
      <c r="K162" s="50"/>
      <c r="L162" s="36"/>
      <c r="M162" s="36"/>
      <c r="N162" s="32"/>
      <c r="O162" s="36"/>
      <c r="P162" s="36"/>
      <c r="Q162" s="32"/>
      <c r="R162" s="38"/>
      <c r="S162" s="38"/>
      <c r="T162" s="38"/>
      <c r="U162" s="32"/>
      <c r="V162" s="32"/>
      <c r="W162" s="32"/>
      <c r="X162" s="32"/>
    </row>
    <row r="163" spans="1:24" ht="15.75" customHeight="1" x14ac:dyDescent="0.25">
      <c r="A163" s="13" t="s">
        <v>4</v>
      </c>
      <c r="B163" s="33">
        <v>73</v>
      </c>
      <c r="C163" s="33">
        <v>73</v>
      </c>
      <c r="D163" s="33">
        <v>73</v>
      </c>
      <c r="E163" s="33">
        <v>73</v>
      </c>
      <c r="F163" s="33">
        <v>72.8</v>
      </c>
      <c r="G163" s="33">
        <v>72</v>
      </c>
      <c r="H163" s="33">
        <v>74</v>
      </c>
      <c r="I163" s="33">
        <v>74</v>
      </c>
      <c r="J163" s="33">
        <v>74</v>
      </c>
      <c r="K163" s="49">
        <v>74</v>
      </c>
      <c r="L163" s="33">
        <v>74</v>
      </c>
      <c r="M163" s="33">
        <v>74</v>
      </c>
      <c r="N163" s="32"/>
      <c r="O163" s="33"/>
      <c r="P163" s="33"/>
      <c r="Q163" s="32"/>
      <c r="R163" s="38"/>
      <c r="S163" s="38"/>
      <c r="T163" s="38"/>
      <c r="U163" s="32"/>
      <c r="V163" s="32"/>
      <c r="W163" s="32"/>
      <c r="X163" s="32"/>
    </row>
    <row r="164" spans="1:24" ht="15.75" customHeight="1" x14ac:dyDescent="0.25">
      <c r="A164" s="16" t="s">
        <v>5</v>
      </c>
      <c r="B164" s="36">
        <v>2885881</v>
      </c>
      <c r="C164" s="36">
        <v>2786056.75</v>
      </c>
      <c r="D164" s="36">
        <v>2977837.5</v>
      </c>
      <c r="E164" s="36">
        <v>2886858.5</v>
      </c>
      <c r="F164" s="36">
        <v>2605722</v>
      </c>
      <c r="G164" s="36">
        <v>3235781.75</v>
      </c>
      <c r="H164" s="36">
        <v>3140494.31</v>
      </c>
      <c r="I164" s="36">
        <v>2910659.94</v>
      </c>
      <c r="J164" s="36">
        <v>3528378.7800000003</v>
      </c>
      <c r="K164" s="50">
        <v>3053135.76</v>
      </c>
      <c r="L164" s="36">
        <v>2970599.4200000004</v>
      </c>
      <c r="M164" s="36">
        <v>3164439.16</v>
      </c>
      <c r="N164" s="32"/>
      <c r="O164" s="36">
        <f>SUM(B164:M164)</f>
        <v>36145844.870000005</v>
      </c>
      <c r="P164" s="36">
        <f>O164+213617670</f>
        <v>249763514.87</v>
      </c>
      <c r="Q164" s="32"/>
      <c r="R164" s="38"/>
      <c r="S164" s="38"/>
      <c r="T164" s="38"/>
      <c r="U164" s="32"/>
      <c r="V164" s="32"/>
      <c r="W164" s="32"/>
      <c r="X164" s="32"/>
    </row>
    <row r="165" spans="1:24" ht="15.75" customHeight="1" x14ac:dyDescent="0.25">
      <c r="A165" s="16" t="s">
        <v>6</v>
      </c>
      <c r="B165" s="36">
        <v>368149.53</v>
      </c>
      <c r="C165" s="36">
        <v>410331.33999999997</v>
      </c>
      <c r="D165" s="36">
        <v>435108.86</v>
      </c>
      <c r="E165" s="36">
        <v>425507.79000000004</v>
      </c>
      <c r="F165" s="36">
        <v>368409.68</v>
      </c>
      <c r="G165" s="36">
        <v>479823.38999999996</v>
      </c>
      <c r="H165" s="36">
        <v>455476.85</v>
      </c>
      <c r="I165" s="36">
        <v>433723.76000000007</v>
      </c>
      <c r="J165" s="36">
        <v>507729.45</v>
      </c>
      <c r="K165" s="50">
        <v>453543.01999999996</v>
      </c>
      <c r="L165" s="36">
        <v>416870.79</v>
      </c>
      <c r="M165" s="36">
        <v>442903.86</v>
      </c>
      <c r="N165" s="32"/>
      <c r="O165" s="36">
        <f>SUM(B165:M165)</f>
        <v>5197578.32</v>
      </c>
      <c r="P165" s="36">
        <f>O165+27158223</f>
        <v>32355801.32</v>
      </c>
      <c r="Q165" s="32"/>
      <c r="R165" s="38"/>
      <c r="S165" s="38"/>
      <c r="T165" s="38"/>
      <c r="U165" s="32"/>
      <c r="V165" s="32"/>
      <c r="W165" s="32"/>
      <c r="X165" s="32"/>
    </row>
    <row r="166" spans="1:24" ht="15.75" customHeight="1" x14ac:dyDescent="0.25">
      <c r="A166" s="16" t="s">
        <v>7</v>
      </c>
      <c r="B166" s="36">
        <v>57717.63</v>
      </c>
      <c r="C166" s="36">
        <v>55721.149999999994</v>
      </c>
      <c r="D166" s="36">
        <v>59556.770000000004</v>
      </c>
      <c r="E166" s="36">
        <v>57737.19</v>
      </c>
      <c r="F166" s="36">
        <v>52114.450000000004</v>
      </c>
      <c r="G166" s="36">
        <v>64715.649999999994</v>
      </c>
      <c r="H166" s="36">
        <v>62809.909999999989</v>
      </c>
      <c r="I166" s="36">
        <v>58213.210000000006</v>
      </c>
      <c r="J166" s="36">
        <v>70567.579999999987</v>
      </c>
      <c r="K166" s="50">
        <v>61062.720000000008</v>
      </c>
      <c r="L166" s="36">
        <v>59411.99</v>
      </c>
      <c r="M166" s="36">
        <v>63288.810000000005</v>
      </c>
      <c r="N166" s="32"/>
      <c r="O166" s="36">
        <f>SUM(B166:M166)</f>
        <v>722917.05999999994</v>
      </c>
      <c r="P166" s="36">
        <f>O166+4272354</f>
        <v>4995271.0599999996</v>
      </c>
      <c r="Q166" s="32"/>
      <c r="R166" s="38"/>
      <c r="S166" s="38"/>
      <c r="T166" s="38"/>
      <c r="U166" s="32"/>
      <c r="V166" s="32"/>
      <c r="W166" s="32"/>
      <c r="X166" s="32"/>
    </row>
    <row r="167" spans="1:24" ht="15.75" customHeight="1" x14ac:dyDescent="0.25">
      <c r="A167" s="13" t="s">
        <v>8</v>
      </c>
      <c r="B167" s="33">
        <v>16</v>
      </c>
      <c r="C167" s="33">
        <v>16</v>
      </c>
      <c r="D167" s="33">
        <v>16</v>
      </c>
      <c r="E167" s="33">
        <v>16</v>
      </c>
      <c r="F167" s="33">
        <v>16</v>
      </c>
      <c r="G167" s="33">
        <v>16</v>
      </c>
      <c r="H167" s="33">
        <v>16</v>
      </c>
      <c r="I167" s="33">
        <v>16</v>
      </c>
      <c r="J167" s="33">
        <v>16</v>
      </c>
      <c r="K167" s="49">
        <v>16</v>
      </c>
      <c r="L167" s="33">
        <v>16</v>
      </c>
      <c r="M167" s="33">
        <v>16</v>
      </c>
      <c r="N167" s="32"/>
      <c r="O167" s="33"/>
      <c r="P167" s="33"/>
      <c r="Q167" s="32"/>
      <c r="R167" s="38"/>
      <c r="S167" s="38"/>
      <c r="T167" s="38"/>
      <c r="U167" s="32"/>
      <c r="V167" s="32"/>
      <c r="W167" s="32"/>
      <c r="X167" s="32"/>
    </row>
    <row r="168" spans="1:24" ht="15.75" customHeight="1" x14ac:dyDescent="0.25">
      <c r="A168" s="16" t="s">
        <v>5</v>
      </c>
      <c r="B168" s="36">
        <v>331610</v>
      </c>
      <c r="C168" s="36">
        <v>313930</v>
      </c>
      <c r="D168" s="36">
        <v>313669</v>
      </c>
      <c r="E168" s="36">
        <v>323729</v>
      </c>
      <c r="F168" s="36">
        <v>347787</v>
      </c>
      <c r="G168" s="36">
        <v>362920</v>
      </c>
      <c r="H168" s="36">
        <v>369921</v>
      </c>
      <c r="I168" s="36">
        <v>376074</v>
      </c>
      <c r="J168" s="36">
        <v>440820</v>
      </c>
      <c r="K168" s="50">
        <v>394174</v>
      </c>
      <c r="L168" s="36">
        <v>382668</v>
      </c>
      <c r="M168" s="36">
        <v>343658</v>
      </c>
      <c r="N168" s="32"/>
      <c r="O168" s="36">
        <f>SUM(B168:M168)</f>
        <v>4300960</v>
      </c>
      <c r="P168" s="36">
        <f>O168+25248098</f>
        <v>29549058</v>
      </c>
      <c r="Q168" s="32"/>
      <c r="R168" s="38"/>
      <c r="S168" s="38"/>
      <c r="T168" s="38"/>
      <c r="U168" s="32"/>
      <c r="V168" s="32"/>
      <c r="W168" s="32"/>
      <c r="X168" s="32"/>
    </row>
    <row r="169" spans="1:24" ht="15.75" customHeight="1" x14ac:dyDescent="0.25">
      <c r="A169" s="16" t="s">
        <v>6</v>
      </c>
      <c r="B169" s="36">
        <v>39793.199999999997</v>
      </c>
      <c r="C169" s="36">
        <v>43950.2</v>
      </c>
      <c r="D169" s="36">
        <v>43913.66</v>
      </c>
      <c r="E169" s="36">
        <v>45322.060000000012</v>
      </c>
      <c r="F169" s="36">
        <v>48690.18</v>
      </c>
      <c r="G169" s="36">
        <v>50808.800000000003</v>
      </c>
      <c r="H169" s="36">
        <v>51788.939999999995</v>
      </c>
      <c r="I169" s="36">
        <v>52650.359999999993</v>
      </c>
      <c r="J169" s="36">
        <v>61714.8</v>
      </c>
      <c r="K169" s="50">
        <v>55184.36</v>
      </c>
      <c r="L169" s="36">
        <v>53573.52</v>
      </c>
      <c r="M169" s="36">
        <v>48112.12</v>
      </c>
      <c r="N169" s="32"/>
      <c r="O169" s="36">
        <f>SUM(B169:M169)</f>
        <v>595502.19999999995</v>
      </c>
      <c r="P169" s="36">
        <f>O169+3222033</f>
        <v>3817535.2</v>
      </c>
      <c r="Q169" s="32"/>
      <c r="R169" s="38"/>
      <c r="S169" s="38"/>
      <c r="T169" s="38"/>
      <c r="U169" s="32"/>
      <c r="V169" s="32"/>
      <c r="W169" s="32"/>
      <c r="X169" s="32"/>
    </row>
    <row r="170" spans="1:24" ht="15.75" customHeight="1" x14ac:dyDescent="0.25">
      <c r="A170" s="16" t="s">
        <v>7</v>
      </c>
      <c r="B170" s="36">
        <v>6632.2</v>
      </c>
      <c r="C170" s="36">
        <v>6278.6</v>
      </c>
      <c r="D170" s="36">
        <v>6273.38</v>
      </c>
      <c r="E170" s="36">
        <v>6474.58</v>
      </c>
      <c r="F170" s="36">
        <v>6955.74</v>
      </c>
      <c r="G170" s="36">
        <v>7258.4</v>
      </c>
      <c r="H170" s="36">
        <v>7398.420000000001</v>
      </c>
      <c r="I170" s="36">
        <v>7521.48</v>
      </c>
      <c r="J170" s="36">
        <v>8816.4</v>
      </c>
      <c r="K170" s="50">
        <v>7883.48</v>
      </c>
      <c r="L170" s="36">
        <v>7653.3600000000006</v>
      </c>
      <c r="M170" s="36">
        <v>6873.16</v>
      </c>
      <c r="N170" s="32"/>
      <c r="O170" s="36">
        <f>SUM(B170:M170)</f>
        <v>86019.200000000012</v>
      </c>
      <c r="P170" s="36">
        <f>O170+504963</f>
        <v>590982.19999999995</v>
      </c>
      <c r="Q170" s="32"/>
      <c r="R170" s="38"/>
      <c r="S170" s="38"/>
      <c r="T170" s="38"/>
      <c r="U170" s="32"/>
      <c r="V170" s="32"/>
      <c r="W170" s="32"/>
      <c r="X170" s="32"/>
    </row>
    <row r="171" spans="1:24" ht="15.75" customHeight="1" x14ac:dyDescent="0.25">
      <c r="A171" s="13" t="s">
        <v>9</v>
      </c>
      <c r="B171" s="33">
        <v>56</v>
      </c>
      <c r="C171" s="33">
        <v>56</v>
      </c>
      <c r="D171" s="33">
        <v>56</v>
      </c>
      <c r="E171" s="33">
        <v>56</v>
      </c>
      <c r="F171" s="33">
        <v>55.8</v>
      </c>
      <c r="G171" s="33">
        <v>55</v>
      </c>
      <c r="H171" s="33">
        <v>55</v>
      </c>
      <c r="I171" s="33">
        <v>55</v>
      </c>
      <c r="J171" s="33">
        <v>55</v>
      </c>
      <c r="K171" s="49">
        <v>55</v>
      </c>
      <c r="L171" s="33">
        <v>55</v>
      </c>
      <c r="M171" s="33">
        <v>55</v>
      </c>
      <c r="N171" s="32"/>
      <c r="O171" s="33"/>
      <c r="P171" s="33"/>
      <c r="Q171" s="32"/>
      <c r="R171" s="38"/>
      <c r="S171" s="38"/>
      <c r="T171" s="38"/>
      <c r="U171" s="32"/>
      <c r="V171" s="32"/>
      <c r="W171" s="32"/>
      <c r="X171" s="32"/>
    </row>
    <row r="172" spans="1:24" ht="15.75" customHeight="1" x14ac:dyDescent="0.25">
      <c r="A172" s="16" t="s">
        <v>5</v>
      </c>
      <c r="B172" s="36">
        <v>2490024.5</v>
      </c>
      <c r="C172" s="36">
        <v>2412469.75</v>
      </c>
      <c r="D172" s="36">
        <v>2610605</v>
      </c>
      <c r="E172" s="36">
        <v>2500342.5</v>
      </c>
      <c r="F172" s="36">
        <v>2247321.5</v>
      </c>
      <c r="G172" s="36">
        <v>2793997.25</v>
      </c>
      <c r="H172" s="36">
        <v>2700270.5</v>
      </c>
      <c r="I172" s="36">
        <v>2353731</v>
      </c>
      <c r="J172" s="36">
        <v>2942387.25</v>
      </c>
      <c r="K172" s="50">
        <v>2541415.75</v>
      </c>
      <c r="L172" s="36">
        <v>2530031</v>
      </c>
      <c r="M172" s="36">
        <v>2786358.25</v>
      </c>
      <c r="N172" s="32"/>
      <c r="O172" s="36">
        <f>SUM(B172:M172)</f>
        <v>30908954.25</v>
      </c>
      <c r="P172" s="36">
        <f>O172+188211683</f>
        <v>219120637.25</v>
      </c>
      <c r="Q172" s="32"/>
      <c r="R172" s="38"/>
      <c r="S172" s="38"/>
      <c r="T172" s="38"/>
      <c r="U172" s="32"/>
      <c r="V172" s="32"/>
      <c r="W172" s="32"/>
      <c r="X172" s="32"/>
    </row>
    <row r="173" spans="1:24" ht="15.75" customHeight="1" x14ac:dyDescent="0.25">
      <c r="A173" s="16" t="s">
        <v>6</v>
      </c>
      <c r="B173" s="36">
        <v>298802.93999999994</v>
      </c>
      <c r="C173" s="36">
        <v>337745.78</v>
      </c>
      <c r="D173" s="36">
        <v>365484.72000000003</v>
      </c>
      <c r="E173" s="36">
        <v>350047.97000000003</v>
      </c>
      <c r="F173" s="36">
        <v>314625.02</v>
      </c>
      <c r="G173" s="36">
        <v>391159.63</v>
      </c>
      <c r="H173" s="36">
        <v>378037.89</v>
      </c>
      <c r="I173" s="36">
        <v>329522.36</v>
      </c>
      <c r="J173" s="36">
        <v>411934.23</v>
      </c>
      <c r="K173" s="50">
        <v>355798.21</v>
      </c>
      <c r="L173" s="36">
        <v>354204.35000000003</v>
      </c>
      <c r="M173" s="36">
        <v>390090.17</v>
      </c>
      <c r="N173" s="32"/>
      <c r="O173" s="36">
        <f>SUM(B173:M173)</f>
        <v>4277453.2700000005</v>
      </c>
      <c r="P173" s="36">
        <f>O173+23888283</f>
        <v>28165736.27</v>
      </c>
      <c r="Q173" s="32"/>
      <c r="R173" s="38"/>
      <c r="S173" s="38"/>
      <c r="T173" s="38"/>
      <c r="U173" s="32"/>
      <c r="V173" s="32"/>
      <c r="W173" s="32"/>
      <c r="X173" s="32"/>
    </row>
    <row r="174" spans="1:24" ht="15.75" customHeight="1" x14ac:dyDescent="0.25">
      <c r="A174" s="16" t="s">
        <v>7</v>
      </c>
      <c r="B174" s="36">
        <v>49800.5</v>
      </c>
      <c r="C174" s="36">
        <v>48249.41</v>
      </c>
      <c r="D174" s="36">
        <v>52212.12</v>
      </c>
      <c r="E174" s="36">
        <v>50006.869999999995</v>
      </c>
      <c r="F174" s="36">
        <v>44946.439999999995</v>
      </c>
      <c r="G174" s="36">
        <v>55879.96</v>
      </c>
      <c r="H174" s="36">
        <v>54005.43</v>
      </c>
      <c r="I174" s="36">
        <v>47074.64</v>
      </c>
      <c r="J174" s="36">
        <v>58847.759999999995</v>
      </c>
      <c r="K174" s="50">
        <v>50828.319999999992</v>
      </c>
      <c r="L174" s="36">
        <v>50600.630000000005</v>
      </c>
      <c r="M174" s="36">
        <v>55727.18</v>
      </c>
      <c r="N174" s="32"/>
      <c r="O174" s="36">
        <f>SUM(B174:M174)</f>
        <v>618179.26000000013</v>
      </c>
      <c r="P174" s="36">
        <f>O174+3764235</f>
        <v>4382414.26</v>
      </c>
      <c r="Q174" s="32"/>
      <c r="R174" s="38"/>
      <c r="S174" s="38"/>
      <c r="T174" s="38"/>
      <c r="U174" s="32"/>
      <c r="V174" s="32"/>
      <c r="W174" s="32"/>
      <c r="X174" s="32"/>
    </row>
    <row r="175" spans="1:24" ht="15.75" customHeight="1" x14ac:dyDescent="0.25">
      <c r="A175" s="13" t="s">
        <v>10</v>
      </c>
      <c r="B175" s="33">
        <v>0</v>
      </c>
      <c r="C175" s="33">
        <v>0</v>
      </c>
      <c r="D175" s="33">
        <v>0</v>
      </c>
      <c r="E175" s="33">
        <v>0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49" t="s">
        <v>43</v>
      </c>
      <c r="L175" s="49" t="s">
        <v>43</v>
      </c>
      <c r="M175" s="33">
        <v>0</v>
      </c>
      <c r="N175" s="32"/>
      <c r="O175" s="33"/>
      <c r="P175" s="33"/>
      <c r="Q175" s="32"/>
      <c r="R175" s="38"/>
      <c r="S175" s="38"/>
      <c r="T175" s="38"/>
      <c r="U175" s="32"/>
      <c r="V175" s="32"/>
      <c r="W175" s="32"/>
      <c r="X175" s="32"/>
    </row>
    <row r="176" spans="1:24" ht="15.75" customHeight="1" x14ac:dyDescent="0.25">
      <c r="A176" s="16" t="s">
        <v>5</v>
      </c>
      <c r="B176" s="36">
        <v>0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50">
        <v>0</v>
      </c>
      <c r="L176" s="36">
        <v>0</v>
      </c>
      <c r="M176" s="36">
        <v>0</v>
      </c>
      <c r="N176" s="32"/>
      <c r="O176" s="36">
        <f>SUM(B176:M176)</f>
        <v>0</v>
      </c>
      <c r="P176" s="36">
        <f>O176+72711</f>
        <v>72711</v>
      </c>
      <c r="Q176" s="32"/>
      <c r="R176" s="38"/>
      <c r="S176" s="38"/>
      <c r="T176" s="38"/>
      <c r="U176" s="32"/>
      <c r="V176" s="32"/>
      <c r="W176" s="32"/>
      <c r="X176" s="32"/>
    </row>
    <row r="177" spans="1:24" ht="15.75" customHeight="1" x14ac:dyDescent="0.25">
      <c r="A177" s="16" t="s">
        <v>6</v>
      </c>
      <c r="B177" s="36">
        <v>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50">
        <v>0</v>
      </c>
      <c r="L177" s="36">
        <v>0</v>
      </c>
      <c r="M177" s="36">
        <v>0</v>
      </c>
      <c r="N177" s="32"/>
      <c r="O177" s="36">
        <f>SUM(B177:M177)</f>
        <v>0</v>
      </c>
      <c r="P177" s="36">
        <f>O177+8725</f>
        <v>8725</v>
      </c>
      <c r="Q177" s="32"/>
      <c r="R177" s="38"/>
      <c r="S177" s="38"/>
      <c r="T177" s="38"/>
      <c r="U177" s="32"/>
      <c r="V177" s="32"/>
      <c r="W177" s="32"/>
      <c r="X177" s="32"/>
    </row>
    <row r="178" spans="1:24" ht="15.75" customHeight="1" x14ac:dyDescent="0.25">
      <c r="A178" s="16" t="s">
        <v>7</v>
      </c>
      <c r="B178" s="36">
        <v>0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50">
        <v>0</v>
      </c>
      <c r="L178" s="36">
        <v>0</v>
      </c>
      <c r="M178" s="36">
        <v>0</v>
      </c>
      <c r="N178" s="32"/>
      <c r="O178" s="36">
        <f>SUM(B178:M178)</f>
        <v>0</v>
      </c>
      <c r="P178" s="36">
        <f>O178+1454</f>
        <v>1454</v>
      </c>
      <c r="Q178" s="32"/>
      <c r="R178" s="38"/>
      <c r="S178" s="38"/>
      <c r="T178" s="38"/>
      <c r="U178" s="32"/>
      <c r="V178" s="32"/>
      <c r="W178" s="32"/>
      <c r="X178" s="32"/>
    </row>
    <row r="179" spans="1:24" ht="15.75" customHeight="1" x14ac:dyDescent="0.25">
      <c r="A179" s="13" t="s">
        <v>45</v>
      </c>
      <c r="B179" s="33">
        <v>1</v>
      </c>
      <c r="C179" s="33">
        <v>1</v>
      </c>
      <c r="D179" s="33">
        <v>1</v>
      </c>
      <c r="E179" s="33">
        <v>1</v>
      </c>
      <c r="F179" s="33">
        <v>1</v>
      </c>
      <c r="G179" s="33">
        <v>1</v>
      </c>
      <c r="H179" s="33">
        <v>1</v>
      </c>
      <c r="I179" s="33">
        <v>1</v>
      </c>
      <c r="J179" s="33">
        <v>1</v>
      </c>
      <c r="K179" s="49">
        <v>1</v>
      </c>
      <c r="L179" s="33">
        <v>1</v>
      </c>
      <c r="M179" s="33">
        <v>1</v>
      </c>
      <c r="N179" s="32"/>
      <c r="O179" s="33"/>
      <c r="P179" s="33"/>
      <c r="Q179" s="32"/>
      <c r="R179" s="38"/>
      <c r="S179" s="38"/>
      <c r="T179" s="38"/>
      <c r="U179" s="32"/>
      <c r="V179" s="32"/>
      <c r="W179" s="32"/>
      <c r="X179" s="32"/>
    </row>
    <row r="180" spans="1:24" ht="15.75" customHeight="1" x14ac:dyDescent="0.25">
      <c r="A180" s="16" t="s">
        <v>5</v>
      </c>
      <c r="B180" s="36">
        <v>64246.5</v>
      </c>
      <c r="C180" s="36">
        <v>59657</v>
      </c>
      <c r="D180" s="36">
        <v>53563.5</v>
      </c>
      <c r="E180" s="36">
        <v>62787</v>
      </c>
      <c r="F180" s="36">
        <v>10613.5</v>
      </c>
      <c r="G180" s="36">
        <v>78864.5</v>
      </c>
      <c r="H180" s="36">
        <v>46493</v>
      </c>
      <c r="I180" s="36">
        <v>77151</v>
      </c>
      <c r="J180" s="36">
        <v>40460</v>
      </c>
      <c r="K180" s="50">
        <v>76776.5</v>
      </c>
      <c r="L180" s="36">
        <v>2902.5</v>
      </c>
      <c r="M180" s="54">
        <v>-346</v>
      </c>
      <c r="N180" s="32"/>
      <c r="O180" s="36">
        <f>SUM(B180:M180)</f>
        <v>573169</v>
      </c>
      <c r="P180" s="36">
        <f>O180+85178</f>
        <v>658347</v>
      </c>
      <c r="Q180" s="38"/>
      <c r="R180" s="38"/>
      <c r="S180" s="38"/>
      <c r="T180" s="38"/>
      <c r="U180" s="32"/>
      <c r="V180" s="32"/>
      <c r="W180" s="32"/>
      <c r="X180" s="32"/>
    </row>
    <row r="181" spans="1:24" ht="15.75" customHeight="1" x14ac:dyDescent="0.25">
      <c r="A181" s="16" t="s">
        <v>6</v>
      </c>
      <c r="B181" s="36">
        <v>29553.390000000003</v>
      </c>
      <c r="C181" s="36">
        <v>28635.360000000001</v>
      </c>
      <c r="D181" s="36">
        <v>25710.48</v>
      </c>
      <c r="E181" s="36">
        <v>30137.759999999998</v>
      </c>
      <c r="F181" s="36">
        <v>5094.4799999999996</v>
      </c>
      <c r="G181" s="36">
        <v>37854.959999999999</v>
      </c>
      <c r="H181" s="36">
        <v>22316.640000000003</v>
      </c>
      <c r="I181" s="36">
        <v>37032.480000000003</v>
      </c>
      <c r="J181" s="36">
        <v>19420.8</v>
      </c>
      <c r="K181" s="50">
        <v>36852.720000000001</v>
      </c>
      <c r="L181" s="36">
        <v>1393.2000000000003</v>
      </c>
      <c r="M181" s="54">
        <v>-166.07999999999998</v>
      </c>
      <c r="N181" s="32"/>
      <c r="O181" s="36">
        <f>SUM(B181:M181)</f>
        <v>273836.19</v>
      </c>
      <c r="P181" s="36">
        <f>O181+39182</f>
        <v>313018.19</v>
      </c>
      <c r="Q181" s="38"/>
      <c r="R181" s="38"/>
      <c r="S181" s="38"/>
      <c r="T181" s="38"/>
      <c r="U181" s="32"/>
      <c r="V181" s="32"/>
      <c r="W181" s="32"/>
      <c r="X181" s="32"/>
    </row>
    <row r="182" spans="1:24" ht="15.75" customHeight="1" x14ac:dyDescent="0.25">
      <c r="A182" s="16" t="s">
        <v>7</v>
      </c>
      <c r="B182" s="36">
        <v>1284.9299999999998</v>
      </c>
      <c r="C182" s="36">
        <v>1193.1399999999999</v>
      </c>
      <c r="D182" s="36">
        <v>1071.27</v>
      </c>
      <c r="E182" s="36">
        <v>1255.74</v>
      </c>
      <c r="F182" s="36">
        <v>212.26999999999998</v>
      </c>
      <c r="G182" s="36">
        <v>1577.29</v>
      </c>
      <c r="H182" s="36">
        <v>929.86</v>
      </c>
      <c r="I182" s="36">
        <v>1543.0199999999998</v>
      </c>
      <c r="J182" s="36">
        <v>809.2</v>
      </c>
      <c r="K182" s="50">
        <v>1535.5300000000002</v>
      </c>
      <c r="L182" s="36">
        <v>58.05</v>
      </c>
      <c r="M182" s="54">
        <v>-6.9199999999999982</v>
      </c>
      <c r="N182" s="32"/>
      <c r="O182" s="36">
        <f>SUM(B182:M182)</f>
        <v>11463.380000000001</v>
      </c>
      <c r="P182" s="36">
        <f>O182+1704</f>
        <v>13167.380000000001</v>
      </c>
      <c r="Q182" s="38"/>
      <c r="R182" s="38"/>
      <c r="S182" s="38"/>
      <c r="T182" s="38"/>
      <c r="U182" s="32"/>
      <c r="V182" s="32"/>
      <c r="W182" s="32"/>
      <c r="X182" s="32"/>
    </row>
    <row r="183" spans="1:24" ht="15.75" customHeight="1" x14ac:dyDescent="0.25">
      <c r="A183" s="21" t="s">
        <v>11</v>
      </c>
      <c r="B183" s="33">
        <v>0</v>
      </c>
      <c r="C183" s="33">
        <v>0</v>
      </c>
      <c r="D183" s="33">
        <v>0</v>
      </c>
      <c r="E183" s="33">
        <v>0</v>
      </c>
      <c r="F183" s="33">
        <v>0</v>
      </c>
      <c r="G183" s="33">
        <v>0</v>
      </c>
      <c r="H183" s="33">
        <v>2</v>
      </c>
      <c r="I183" s="33">
        <v>2</v>
      </c>
      <c r="J183" s="33">
        <v>2</v>
      </c>
      <c r="K183" s="49">
        <v>2</v>
      </c>
      <c r="L183" s="49">
        <v>2</v>
      </c>
      <c r="M183" s="49">
        <v>2</v>
      </c>
      <c r="N183" s="32"/>
      <c r="O183" s="36"/>
      <c r="P183" s="36"/>
      <c r="Q183" s="38"/>
      <c r="R183" s="38"/>
      <c r="S183" s="38"/>
      <c r="T183" s="38"/>
      <c r="U183" s="32"/>
      <c r="V183" s="32"/>
      <c r="W183" s="32"/>
      <c r="X183" s="32"/>
    </row>
    <row r="184" spans="1:24" ht="15.75" customHeight="1" x14ac:dyDescent="0.25">
      <c r="A184" s="22" t="s">
        <v>5</v>
      </c>
      <c r="B184" s="36">
        <v>0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23809.809999999998</v>
      </c>
      <c r="I184" s="36">
        <v>103703.94</v>
      </c>
      <c r="J184" s="36">
        <v>104711.53</v>
      </c>
      <c r="K184" s="50">
        <v>40769.509999999995</v>
      </c>
      <c r="L184" s="36">
        <v>54997.919999999998</v>
      </c>
      <c r="M184" s="36">
        <v>34768.910000000003</v>
      </c>
      <c r="N184" s="32"/>
      <c r="O184" s="36">
        <f>SUM(B184:M184)</f>
        <v>362761.62</v>
      </c>
      <c r="P184" s="36">
        <f>O184</f>
        <v>362761.62</v>
      </c>
      <c r="Q184" s="38"/>
      <c r="R184" s="38"/>
      <c r="S184" s="38"/>
      <c r="T184" s="38"/>
      <c r="U184" s="32"/>
      <c r="V184" s="32"/>
      <c r="W184" s="32"/>
      <c r="X184" s="32"/>
    </row>
    <row r="185" spans="1:24" ht="15.75" customHeight="1" x14ac:dyDescent="0.25">
      <c r="A185" s="16" t="s">
        <v>6</v>
      </c>
      <c r="B185" s="36">
        <v>0</v>
      </c>
      <c r="C185" s="36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3333.38</v>
      </c>
      <c r="I185" s="36">
        <v>14518.56</v>
      </c>
      <c r="J185" s="36">
        <v>14659.62</v>
      </c>
      <c r="K185" s="50">
        <v>5707.73</v>
      </c>
      <c r="L185" s="36">
        <v>7699.72</v>
      </c>
      <c r="M185" s="36">
        <v>4867.6499999999996</v>
      </c>
      <c r="N185" s="32"/>
      <c r="O185" s="36">
        <f>SUM(B185:M185)</f>
        <v>50786.659999999996</v>
      </c>
      <c r="P185" s="36">
        <f>O185</f>
        <v>50786.659999999996</v>
      </c>
      <c r="Q185" s="38"/>
      <c r="R185" s="38"/>
      <c r="S185" s="38"/>
      <c r="T185" s="38"/>
      <c r="U185" s="32"/>
      <c r="V185" s="32"/>
      <c r="W185" s="32"/>
      <c r="X185" s="32"/>
    </row>
    <row r="186" spans="1:24" ht="15.75" customHeight="1" x14ac:dyDescent="0.25">
      <c r="A186" s="22" t="s">
        <v>7</v>
      </c>
      <c r="B186" s="36">
        <v>0</v>
      </c>
      <c r="C186" s="36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476.2</v>
      </c>
      <c r="I186" s="36">
        <v>2074.0700000000002</v>
      </c>
      <c r="J186" s="36">
        <v>2094.2200000000003</v>
      </c>
      <c r="K186" s="50">
        <v>815.39</v>
      </c>
      <c r="L186" s="36">
        <v>1099.9499999999998</v>
      </c>
      <c r="M186" s="36">
        <v>695.39</v>
      </c>
      <c r="N186" s="32"/>
      <c r="O186" s="36">
        <f>SUM(B186:M186)</f>
        <v>7255.22</v>
      </c>
      <c r="P186" s="36">
        <f>O186</f>
        <v>7255.22</v>
      </c>
      <c r="Q186" s="38"/>
      <c r="R186" s="38"/>
      <c r="S186" s="38"/>
      <c r="T186" s="38"/>
      <c r="U186" s="32"/>
      <c r="V186" s="32"/>
      <c r="W186" s="32"/>
      <c r="X186" s="32"/>
    </row>
    <row r="187" spans="1:24" ht="15.75" customHeight="1" x14ac:dyDescent="0.25">
      <c r="B187" s="36"/>
      <c r="C187" s="36"/>
      <c r="D187" s="36"/>
      <c r="E187" s="36"/>
      <c r="F187" s="36"/>
      <c r="G187" s="36"/>
      <c r="H187" s="32"/>
      <c r="I187" s="36"/>
      <c r="J187" s="36"/>
      <c r="K187" s="50"/>
      <c r="L187" s="36"/>
      <c r="M187" s="36"/>
      <c r="N187" s="32"/>
      <c r="O187" s="36"/>
      <c r="P187" s="36"/>
      <c r="Q187" s="32"/>
      <c r="R187" s="38"/>
      <c r="S187" s="38"/>
      <c r="T187" s="38"/>
      <c r="U187" s="32"/>
      <c r="V187" s="32"/>
      <c r="W187" s="32"/>
      <c r="X187" s="32"/>
    </row>
    <row r="188" spans="1:24" ht="15.75" customHeight="1" x14ac:dyDescent="0.25">
      <c r="A188" s="11" t="s">
        <v>19</v>
      </c>
      <c r="B188" s="36"/>
      <c r="C188" s="36"/>
      <c r="D188" s="36"/>
      <c r="E188" s="36"/>
      <c r="F188" s="36"/>
      <c r="G188" s="36"/>
      <c r="H188" s="32"/>
      <c r="I188" s="36"/>
      <c r="J188" s="36"/>
      <c r="K188" s="50"/>
      <c r="L188" s="36"/>
      <c r="M188" s="36"/>
      <c r="N188" s="32"/>
      <c r="O188" s="36"/>
      <c r="P188" s="36"/>
      <c r="Q188" s="32"/>
      <c r="R188" s="38"/>
      <c r="S188" s="38"/>
      <c r="T188" s="38"/>
      <c r="U188" s="32"/>
      <c r="V188" s="32"/>
      <c r="W188" s="32"/>
      <c r="X188" s="32"/>
    </row>
    <row r="189" spans="1:24" ht="15.75" customHeight="1" x14ac:dyDescent="0.25">
      <c r="A189" s="13" t="s">
        <v>4</v>
      </c>
      <c r="B189" s="33">
        <v>237</v>
      </c>
      <c r="C189" s="33">
        <v>237</v>
      </c>
      <c r="D189" s="33">
        <v>237</v>
      </c>
      <c r="E189" s="33">
        <v>237</v>
      </c>
      <c r="F189" s="33">
        <v>237</v>
      </c>
      <c r="G189" s="33">
        <v>237</v>
      </c>
      <c r="H189" s="33">
        <v>237</v>
      </c>
      <c r="I189" s="33">
        <v>237</v>
      </c>
      <c r="J189" s="33">
        <v>237</v>
      </c>
      <c r="K189" s="49">
        <v>237</v>
      </c>
      <c r="L189" s="33">
        <v>237</v>
      </c>
      <c r="M189" s="33">
        <v>237</v>
      </c>
      <c r="N189" s="32"/>
      <c r="O189" s="33"/>
      <c r="P189" s="33"/>
      <c r="Q189" s="32"/>
      <c r="R189" s="38"/>
      <c r="S189" s="38"/>
      <c r="T189" s="38"/>
      <c r="U189" s="32"/>
      <c r="V189" s="32"/>
      <c r="W189" s="32"/>
      <c r="X189" s="32"/>
    </row>
    <row r="190" spans="1:24" ht="15.75" customHeight="1" x14ac:dyDescent="0.25">
      <c r="A190" s="16" t="s">
        <v>5</v>
      </c>
      <c r="B190" s="36">
        <v>21148923.350000001</v>
      </c>
      <c r="C190" s="36">
        <v>19334469.32</v>
      </c>
      <c r="D190" s="36">
        <v>19403807.690000001</v>
      </c>
      <c r="E190" s="36">
        <v>16828699.41</v>
      </c>
      <c r="F190" s="36">
        <v>19882805.149999999</v>
      </c>
      <c r="G190" s="36">
        <v>19010583.969999999</v>
      </c>
      <c r="H190" s="36">
        <v>18254561.919999998</v>
      </c>
      <c r="I190" s="36">
        <v>18727467.879999999</v>
      </c>
      <c r="J190" s="36">
        <v>21364993.59</v>
      </c>
      <c r="K190" s="50">
        <v>21905082.02</v>
      </c>
      <c r="L190" s="36">
        <v>21715852.490000002</v>
      </c>
      <c r="M190" s="36">
        <v>17569463.119999997</v>
      </c>
      <c r="N190" s="32"/>
      <c r="O190" s="36">
        <f>SUM(B190:M190)</f>
        <v>235146709.91000003</v>
      </c>
      <c r="P190" s="36">
        <f>O190+974745869</f>
        <v>1209892578.9100001</v>
      </c>
      <c r="Q190" s="32"/>
      <c r="R190" s="38"/>
      <c r="S190" s="38"/>
      <c r="T190" s="38"/>
      <c r="U190" s="32"/>
      <c r="V190" s="32"/>
      <c r="W190" s="32"/>
      <c r="X190" s="32"/>
    </row>
    <row r="191" spans="1:24" ht="15.75" customHeight="1" x14ac:dyDescent="0.25">
      <c r="A191" s="16" t="s">
        <v>6</v>
      </c>
      <c r="B191" s="36">
        <v>2537870.8000000003</v>
      </c>
      <c r="C191" s="36">
        <v>2706825.72</v>
      </c>
      <c r="D191" s="36">
        <v>2716533.09</v>
      </c>
      <c r="E191" s="36">
        <v>2356017.9300000002</v>
      </c>
      <c r="F191" s="36">
        <v>2783592.7300000004</v>
      </c>
      <c r="G191" s="36">
        <v>2661481.75</v>
      </c>
      <c r="H191" s="36">
        <v>2555638.66</v>
      </c>
      <c r="I191" s="36">
        <v>2621845.5</v>
      </c>
      <c r="J191" s="36">
        <v>2991099.11</v>
      </c>
      <c r="K191" s="50">
        <v>3066711.4799999995</v>
      </c>
      <c r="L191" s="36">
        <v>3040219.34</v>
      </c>
      <c r="M191" s="36">
        <v>2459724.8399999994</v>
      </c>
      <c r="N191" s="32"/>
      <c r="O191" s="36">
        <f>SUM(B191:M191)</f>
        <v>32497560.949999999</v>
      </c>
      <c r="P191" s="36">
        <f>O191+121118830</f>
        <v>153616390.94999999</v>
      </c>
      <c r="Q191" s="32"/>
      <c r="R191" s="38"/>
      <c r="S191" s="38"/>
      <c r="T191" s="38"/>
      <c r="U191" s="32"/>
      <c r="V191" s="32"/>
      <c r="W191" s="32"/>
      <c r="X191" s="32"/>
    </row>
    <row r="192" spans="1:24" ht="15.75" customHeight="1" x14ac:dyDescent="0.25">
      <c r="A192" s="16" t="s">
        <v>7</v>
      </c>
      <c r="B192" s="36">
        <v>422978.47</v>
      </c>
      <c r="C192" s="36">
        <v>386689.38999999996</v>
      </c>
      <c r="D192" s="36">
        <v>388076.16</v>
      </c>
      <c r="E192" s="36">
        <v>336573.99</v>
      </c>
      <c r="F192" s="36">
        <v>397656.11</v>
      </c>
      <c r="G192" s="36">
        <v>380211.68000000005</v>
      </c>
      <c r="H192" s="36">
        <v>365091.25000000006</v>
      </c>
      <c r="I192" s="36">
        <v>374549.36</v>
      </c>
      <c r="J192" s="36">
        <v>427299.89000000007</v>
      </c>
      <c r="K192" s="50">
        <v>438101.63</v>
      </c>
      <c r="L192" s="36">
        <v>434317.05</v>
      </c>
      <c r="M192" s="36">
        <v>351389.27</v>
      </c>
      <c r="N192" s="32"/>
      <c r="O192" s="36">
        <f>SUM(B192:M192)</f>
        <v>4702934.25</v>
      </c>
      <c r="P192" s="36">
        <f>O192+19494917</f>
        <v>24197851.25</v>
      </c>
      <c r="Q192" s="32"/>
      <c r="R192" s="38"/>
      <c r="S192" s="38"/>
      <c r="T192" s="38"/>
      <c r="U192" s="32"/>
      <c r="V192" s="32"/>
      <c r="W192" s="32"/>
      <c r="X192" s="32"/>
    </row>
    <row r="193" spans="1:24" ht="15.75" customHeight="1" x14ac:dyDescent="0.25">
      <c r="A193" s="13" t="s">
        <v>8</v>
      </c>
      <c r="B193" s="33">
        <v>30</v>
      </c>
      <c r="C193" s="33">
        <v>30</v>
      </c>
      <c r="D193" s="33">
        <v>30</v>
      </c>
      <c r="E193" s="33">
        <v>30</v>
      </c>
      <c r="F193" s="33">
        <v>30</v>
      </c>
      <c r="G193" s="33">
        <v>30</v>
      </c>
      <c r="H193" s="33">
        <v>30</v>
      </c>
      <c r="I193" s="33">
        <v>30</v>
      </c>
      <c r="J193" s="33">
        <v>30</v>
      </c>
      <c r="K193" s="49">
        <v>30</v>
      </c>
      <c r="L193" s="33">
        <v>30</v>
      </c>
      <c r="M193" s="33">
        <v>30</v>
      </c>
      <c r="N193" s="32"/>
      <c r="O193" s="33"/>
      <c r="P193" s="33"/>
      <c r="Q193" s="32"/>
      <c r="R193" s="38"/>
      <c r="S193" s="38"/>
      <c r="T193" s="38"/>
      <c r="U193" s="32"/>
      <c r="V193" s="32"/>
      <c r="W193" s="32"/>
      <c r="X193" s="32"/>
    </row>
    <row r="194" spans="1:24" ht="15.75" customHeight="1" x14ac:dyDescent="0.25">
      <c r="A194" s="16" t="s">
        <v>5</v>
      </c>
      <c r="B194" s="36">
        <v>958839</v>
      </c>
      <c r="C194" s="36">
        <v>905934</v>
      </c>
      <c r="D194" s="36">
        <v>821243</v>
      </c>
      <c r="E194" s="36">
        <v>865235.5</v>
      </c>
      <c r="F194" s="36">
        <v>931475</v>
      </c>
      <c r="G194" s="36">
        <v>970397</v>
      </c>
      <c r="H194" s="36">
        <v>960156</v>
      </c>
      <c r="I194" s="36">
        <v>887564</v>
      </c>
      <c r="J194" s="36">
        <v>1016488</v>
      </c>
      <c r="K194" s="50">
        <v>909652</v>
      </c>
      <c r="L194" s="36">
        <v>953692</v>
      </c>
      <c r="M194" s="36">
        <v>905750</v>
      </c>
      <c r="N194" s="32"/>
      <c r="O194" s="36">
        <f>SUM(B194:M194)</f>
        <v>11086425.5</v>
      </c>
      <c r="P194" s="36">
        <f>O194+62672842</f>
        <v>73759267.5</v>
      </c>
      <c r="Q194" s="32"/>
      <c r="R194" s="38"/>
      <c r="S194" s="38"/>
      <c r="T194" s="38"/>
      <c r="U194" s="32"/>
      <c r="V194" s="32"/>
      <c r="W194" s="32"/>
      <c r="X194" s="32"/>
    </row>
    <row r="195" spans="1:24" ht="15.75" customHeight="1" x14ac:dyDescent="0.25">
      <c r="A195" s="16" t="s">
        <v>6</v>
      </c>
      <c r="B195" s="36">
        <v>115060.68000000001</v>
      </c>
      <c r="C195" s="36">
        <v>126830.76</v>
      </c>
      <c r="D195" s="36">
        <v>114974.01999999999</v>
      </c>
      <c r="E195" s="36">
        <v>121132.97000000002</v>
      </c>
      <c r="F195" s="36">
        <v>130406.5</v>
      </c>
      <c r="G195" s="36">
        <v>135855.57999999999</v>
      </c>
      <c r="H195" s="36">
        <v>134421.84</v>
      </c>
      <c r="I195" s="36">
        <v>124258.95999999999</v>
      </c>
      <c r="J195" s="36">
        <v>142308.32</v>
      </c>
      <c r="K195" s="50">
        <v>127351.28</v>
      </c>
      <c r="L195" s="36">
        <v>133516.88</v>
      </c>
      <c r="M195" s="36">
        <v>126805.00000000001</v>
      </c>
      <c r="N195" s="32"/>
      <c r="O195" s="36">
        <f>SUM(B195:M195)</f>
        <v>1532922.79</v>
      </c>
      <c r="P195" s="36">
        <f>O195+7903958</f>
        <v>9436880.7899999991</v>
      </c>
      <c r="Q195" s="32"/>
      <c r="R195" s="38"/>
      <c r="S195" s="38"/>
      <c r="T195" s="38"/>
      <c r="U195" s="32"/>
      <c r="V195" s="32"/>
      <c r="W195" s="32"/>
      <c r="X195" s="32"/>
    </row>
    <row r="196" spans="1:24" ht="15.75" customHeight="1" x14ac:dyDescent="0.25">
      <c r="A196" s="16" t="s">
        <v>7</v>
      </c>
      <c r="B196" s="36">
        <v>19176.78</v>
      </c>
      <c r="C196" s="36">
        <v>18118.68</v>
      </c>
      <c r="D196" s="36">
        <v>16424.86</v>
      </c>
      <c r="E196" s="36">
        <v>17304.71</v>
      </c>
      <c r="F196" s="36">
        <v>18629.5</v>
      </c>
      <c r="G196" s="36">
        <v>19407.940000000002</v>
      </c>
      <c r="H196" s="36">
        <v>19203.12</v>
      </c>
      <c r="I196" s="36">
        <v>17751.28</v>
      </c>
      <c r="J196" s="36">
        <v>20329.760000000006</v>
      </c>
      <c r="K196" s="50">
        <v>18193.04</v>
      </c>
      <c r="L196" s="36">
        <v>19073.839999999997</v>
      </c>
      <c r="M196" s="36">
        <v>18115</v>
      </c>
      <c r="N196" s="32"/>
      <c r="O196" s="36">
        <f>SUM(B196:M196)</f>
        <v>221728.51</v>
      </c>
      <c r="P196" s="36">
        <f>O196+1253458</f>
        <v>1475186.51</v>
      </c>
      <c r="Q196" s="32"/>
      <c r="R196" s="38"/>
      <c r="S196" s="38"/>
      <c r="T196" s="38"/>
      <c r="U196" s="32"/>
      <c r="V196" s="32"/>
      <c r="W196" s="32"/>
      <c r="X196" s="32"/>
    </row>
    <row r="197" spans="1:24" ht="15.75" customHeight="1" x14ac:dyDescent="0.25">
      <c r="A197" s="13" t="s">
        <v>9</v>
      </c>
      <c r="B197" s="33">
        <v>177</v>
      </c>
      <c r="C197" s="33">
        <v>177</v>
      </c>
      <c r="D197" s="33">
        <v>177</v>
      </c>
      <c r="E197" s="33">
        <v>177</v>
      </c>
      <c r="F197" s="33">
        <v>177</v>
      </c>
      <c r="G197" s="33">
        <v>177</v>
      </c>
      <c r="H197" s="33">
        <v>177</v>
      </c>
      <c r="I197" s="33">
        <v>177</v>
      </c>
      <c r="J197" s="33">
        <v>177</v>
      </c>
      <c r="K197" s="49">
        <v>177</v>
      </c>
      <c r="L197" s="33">
        <v>177</v>
      </c>
      <c r="M197" s="33">
        <v>177</v>
      </c>
      <c r="N197" s="32"/>
      <c r="O197" s="33"/>
      <c r="P197" s="33"/>
      <c r="Q197" s="32"/>
      <c r="R197" s="38"/>
      <c r="S197" s="38"/>
      <c r="T197" s="38"/>
      <c r="U197" s="32"/>
      <c r="V197" s="32"/>
      <c r="W197" s="32"/>
      <c r="X197" s="32"/>
    </row>
    <row r="198" spans="1:24" ht="15.75" customHeight="1" x14ac:dyDescent="0.25">
      <c r="A198" s="16" t="s">
        <v>5</v>
      </c>
      <c r="B198" s="36">
        <v>19788548.469999999</v>
      </c>
      <c r="C198" s="36">
        <v>18051752.199999999</v>
      </c>
      <c r="D198" s="36">
        <v>17938669.189999998</v>
      </c>
      <c r="E198" s="36">
        <v>15355276.809999999</v>
      </c>
      <c r="F198" s="36">
        <v>18387237.34</v>
      </c>
      <c r="G198" s="36">
        <v>17555159.640000001</v>
      </c>
      <c r="H198" s="36">
        <v>16848909.050000001</v>
      </c>
      <c r="I198" s="36">
        <v>17198581.689999998</v>
      </c>
      <c r="J198" s="36">
        <v>20086685.939999998</v>
      </c>
      <c r="K198" s="50">
        <v>20548145.02</v>
      </c>
      <c r="L198" s="36">
        <v>20488302.860000003</v>
      </c>
      <c r="M198" s="36">
        <v>16337309.99</v>
      </c>
      <c r="N198" s="32"/>
      <c r="O198" s="36">
        <f t="shared" ref="O198:O208" si="8">SUM(B198:M198)</f>
        <v>218584578.20000002</v>
      </c>
      <c r="P198" s="36">
        <f>O198+912073027</f>
        <v>1130657605.2</v>
      </c>
      <c r="Q198" s="32"/>
      <c r="R198" s="38"/>
      <c r="S198" s="38"/>
      <c r="T198" s="38"/>
      <c r="U198" s="32"/>
      <c r="V198" s="32"/>
      <c r="W198" s="32"/>
      <c r="X198" s="32"/>
    </row>
    <row r="199" spans="1:24" ht="15.75" customHeight="1" x14ac:dyDescent="0.25">
      <c r="A199" s="16" t="s">
        <v>6</v>
      </c>
      <c r="B199" s="36">
        <v>2374625.8200000003</v>
      </c>
      <c r="C199" s="36">
        <v>2527245.31</v>
      </c>
      <c r="D199" s="36">
        <v>2511413.7000000002</v>
      </c>
      <c r="E199" s="36">
        <v>2149738.7600000002</v>
      </c>
      <c r="F199" s="36">
        <v>2574213.2400000002</v>
      </c>
      <c r="G199" s="36">
        <v>2457722.3499999996</v>
      </c>
      <c r="H199" s="36">
        <v>2358847.2699999996</v>
      </c>
      <c r="I199" s="36">
        <v>2407801.44</v>
      </c>
      <c r="J199" s="36">
        <v>2812136.03</v>
      </c>
      <c r="K199" s="50">
        <v>2876740.3</v>
      </c>
      <c r="L199" s="36">
        <v>2868362.39</v>
      </c>
      <c r="M199" s="36">
        <v>2287223.4099999997</v>
      </c>
      <c r="N199" s="32"/>
      <c r="O199" s="36">
        <f t="shared" si="8"/>
        <v>30206070.020000007</v>
      </c>
      <c r="P199" s="36">
        <f>O199+113214872</f>
        <v>143420942.02000001</v>
      </c>
      <c r="Q199" s="32"/>
      <c r="R199" s="38"/>
      <c r="S199" s="38"/>
      <c r="T199" s="38"/>
      <c r="U199" s="32"/>
      <c r="V199" s="32"/>
      <c r="W199" s="32"/>
      <c r="X199" s="32"/>
    </row>
    <row r="200" spans="1:24" ht="15.75" customHeight="1" x14ac:dyDescent="0.25">
      <c r="A200" s="16" t="s">
        <v>7</v>
      </c>
      <c r="B200" s="36">
        <v>395770.97</v>
      </c>
      <c r="C200" s="36">
        <v>361035.04999999993</v>
      </c>
      <c r="D200" s="36">
        <v>358773.38999999996</v>
      </c>
      <c r="E200" s="36">
        <v>307105.54000000004</v>
      </c>
      <c r="F200" s="36">
        <v>367744.75</v>
      </c>
      <c r="G200" s="36">
        <v>351103.2</v>
      </c>
      <c r="H200" s="36">
        <v>336978.19</v>
      </c>
      <c r="I200" s="36">
        <v>343971.63000000006</v>
      </c>
      <c r="J200" s="36">
        <v>401733.73000000004</v>
      </c>
      <c r="K200" s="50">
        <v>410962.89999999997</v>
      </c>
      <c r="L200" s="36">
        <v>409766.06</v>
      </c>
      <c r="M200" s="36">
        <v>326746.20000000007</v>
      </c>
      <c r="N200" s="32"/>
      <c r="O200" s="36">
        <f t="shared" si="8"/>
        <v>4371691.6099999994</v>
      </c>
      <c r="P200" s="36">
        <f>O200+18241461</f>
        <v>22613152.609999999</v>
      </c>
      <c r="Q200" s="32"/>
      <c r="R200" s="38"/>
      <c r="S200" s="38"/>
      <c r="T200" s="38"/>
      <c r="U200" s="32"/>
      <c r="V200" s="32"/>
      <c r="W200" s="32"/>
      <c r="X200" s="32"/>
    </row>
    <row r="201" spans="1:24" ht="15.75" customHeight="1" x14ac:dyDescent="0.25">
      <c r="A201" s="13" t="s">
        <v>10</v>
      </c>
      <c r="B201" s="33">
        <v>0</v>
      </c>
      <c r="C201" s="33">
        <v>0</v>
      </c>
      <c r="D201" s="33">
        <v>0</v>
      </c>
      <c r="E201" s="33">
        <v>0</v>
      </c>
      <c r="F201" s="33" t="s">
        <v>13</v>
      </c>
      <c r="G201" s="33">
        <v>0</v>
      </c>
      <c r="H201" s="33">
        <v>0</v>
      </c>
      <c r="I201" s="33">
        <v>0</v>
      </c>
      <c r="J201" s="33">
        <v>0</v>
      </c>
      <c r="K201" s="49" t="s">
        <v>43</v>
      </c>
      <c r="L201" s="33">
        <v>0</v>
      </c>
      <c r="M201" s="33">
        <v>0</v>
      </c>
      <c r="N201" s="32"/>
      <c r="O201" s="33"/>
      <c r="P201" s="33"/>
      <c r="Q201" s="32"/>
      <c r="R201" s="38"/>
      <c r="S201" s="38"/>
      <c r="T201" s="38"/>
      <c r="U201" s="32"/>
      <c r="V201" s="32"/>
      <c r="W201" s="32"/>
      <c r="X201" s="32"/>
    </row>
    <row r="202" spans="1:24" ht="15.75" customHeight="1" x14ac:dyDescent="0.25">
      <c r="A202" s="16" t="s">
        <v>5</v>
      </c>
      <c r="B202" s="36">
        <v>0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50">
        <v>0</v>
      </c>
      <c r="L202" s="36">
        <v>0</v>
      </c>
      <c r="M202" s="36">
        <v>0</v>
      </c>
      <c r="N202" s="32"/>
      <c r="O202" s="36">
        <f t="shared" si="8"/>
        <v>0</v>
      </c>
      <c r="P202" s="36">
        <f>O202</f>
        <v>0</v>
      </c>
      <c r="Q202" s="32"/>
      <c r="R202" s="38"/>
      <c r="S202" s="38"/>
      <c r="T202" s="38"/>
      <c r="U202" s="32"/>
      <c r="V202" s="32"/>
      <c r="W202" s="32"/>
      <c r="X202" s="32"/>
    </row>
    <row r="203" spans="1:24" ht="15.75" customHeight="1" x14ac:dyDescent="0.25">
      <c r="A203" s="16" t="s">
        <v>6</v>
      </c>
      <c r="B203" s="36">
        <v>0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50">
        <v>0</v>
      </c>
      <c r="L203" s="36">
        <v>0</v>
      </c>
      <c r="M203" s="36">
        <v>0</v>
      </c>
      <c r="N203" s="32"/>
      <c r="O203" s="36">
        <f t="shared" si="8"/>
        <v>0</v>
      </c>
      <c r="P203" s="36">
        <f>O203</f>
        <v>0</v>
      </c>
      <c r="Q203" s="32"/>
      <c r="R203" s="38"/>
      <c r="S203" s="38"/>
      <c r="T203" s="38"/>
      <c r="U203" s="32"/>
      <c r="V203" s="32"/>
      <c r="W203" s="32"/>
      <c r="X203" s="32"/>
    </row>
    <row r="204" spans="1:24" ht="15.75" customHeight="1" x14ac:dyDescent="0.25">
      <c r="A204" s="16" t="s">
        <v>7</v>
      </c>
      <c r="B204" s="36">
        <v>0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50">
        <v>0</v>
      </c>
      <c r="L204" s="36">
        <v>0</v>
      </c>
      <c r="M204" s="36">
        <v>0</v>
      </c>
      <c r="N204" s="32"/>
      <c r="O204" s="36">
        <f t="shared" si="8"/>
        <v>0</v>
      </c>
      <c r="P204" s="36">
        <f>O204</f>
        <v>0</v>
      </c>
      <c r="Q204" s="32"/>
      <c r="R204" s="38"/>
      <c r="S204" s="38"/>
      <c r="T204" s="38"/>
      <c r="U204" s="32"/>
      <c r="V204" s="32"/>
      <c r="W204" s="32"/>
      <c r="X204" s="32"/>
    </row>
    <row r="205" spans="1:24" ht="15.75" customHeight="1" x14ac:dyDescent="0.25">
      <c r="A205" s="13" t="s">
        <v>45</v>
      </c>
      <c r="B205" s="33">
        <v>0</v>
      </c>
      <c r="C205" s="33">
        <v>0</v>
      </c>
      <c r="D205" s="33">
        <v>0</v>
      </c>
      <c r="E205" s="33">
        <v>0</v>
      </c>
      <c r="F205" s="33" t="s">
        <v>13</v>
      </c>
      <c r="G205" s="33">
        <v>0</v>
      </c>
      <c r="H205" s="33">
        <v>0</v>
      </c>
      <c r="I205" s="33">
        <v>0</v>
      </c>
      <c r="J205" s="33">
        <v>0</v>
      </c>
      <c r="K205" s="49" t="s">
        <v>43</v>
      </c>
      <c r="L205" s="33">
        <v>0</v>
      </c>
      <c r="M205" s="33">
        <v>0</v>
      </c>
      <c r="N205" s="32"/>
      <c r="O205" s="33"/>
      <c r="P205" s="33"/>
      <c r="Q205" s="32"/>
      <c r="R205" s="38"/>
      <c r="S205" s="38"/>
      <c r="T205" s="38"/>
      <c r="U205" s="32"/>
      <c r="V205" s="32"/>
      <c r="W205" s="32"/>
      <c r="X205" s="32"/>
    </row>
    <row r="206" spans="1:24" ht="15.75" customHeight="1" x14ac:dyDescent="0.25">
      <c r="A206" s="16" t="s">
        <v>5</v>
      </c>
      <c r="B206" s="36">
        <v>0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50">
        <v>0</v>
      </c>
      <c r="L206" s="36">
        <v>0</v>
      </c>
      <c r="M206" s="36">
        <v>0</v>
      </c>
      <c r="N206" s="32"/>
      <c r="O206" s="36">
        <f t="shared" si="8"/>
        <v>0</v>
      </c>
      <c r="P206" s="36">
        <f>O206</f>
        <v>0</v>
      </c>
      <c r="Q206" s="32"/>
      <c r="R206" s="38"/>
      <c r="S206" s="38"/>
      <c r="T206" s="38"/>
      <c r="U206" s="32"/>
      <c r="V206" s="32"/>
      <c r="W206" s="32"/>
      <c r="X206" s="32"/>
    </row>
    <row r="207" spans="1:24" ht="15.75" customHeight="1" x14ac:dyDescent="0.25">
      <c r="A207" s="16" t="s">
        <v>6</v>
      </c>
      <c r="B207" s="36">
        <v>0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50">
        <v>0</v>
      </c>
      <c r="L207" s="36">
        <v>0</v>
      </c>
      <c r="M207" s="36">
        <v>0</v>
      </c>
      <c r="N207" s="32"/>
      <c r="O207" s="36">
        <f t="shared" si="8"/>
        <v>0</v>
      </c>
      <c r="P207" s="36">
        <f>O207</f>
        <v>0</v>
      </c>
      <c r="Q207" s="32"/>
      <c r="R207" s="38"/>
      <c r="S207" s="38"/>
      <c r="T207" s="38"/>
      <c r="U207" s="32"/>
      <c r="V207" s="32"/>
      <c r="W207" s="32"/>
      <c r="X207" s="32"/>
    </row>
    <row r="208" spans="1:24" ht="15.75" customHeight="1" x14ac:dyDescent="0.25">
      <c r="A208" s="16" t="s">
        <v>7</v>
      </c>
      <c r="B208" s="36">
        <v>0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50">
        <v>0</v>
      </c>
      <c r="L208" s="36">
        <v>0</v>
      </c>
      <c r="M208" s="36">
        <v>0</v>
      </c>
      <c r="N208" s="32"/>
      <c r="O208" s="36">
        <f t="shared" si="8"/>
        <v>0</v>
      </c>
      <c r="P208" s="36">
        <f>O208</f>
        <v>0</v>
      </c>
      <c r="Q208" s="32"/>
      <c r="R208" s="38"/>
      <c r="S208" s="38"/>
      <c r="T208" s="38"/>
      <c r="U208" s="32"/>
      <c r="V208" s="32"/>
      <c r="W208" s="32"/>
      <c r="X208" s="32"/>
    </row>
    <row r="209" spans="1:24" ht="15.75" customHeight="1" x14ac:dyDescent="0.25">
      <c r="A209" s="21" t="s">
        <v>11</v>
      </c>
      <c r="B209" s="33">
        <v>30</v>
      </c>
      <c r="C209" s="33">
        <v>30</v>
      </c>
      <c r="D209" s="33">
        <v>30</v>
      </c>
      <c r="E209" s="33">
        <v>30</v>
      </c>
      <c r="F209" s="33">
        <v>30</v>
      </c>
      <c r="G209" s="33">
        <v>30</v>
      </c>
      <c r="H209" s="33">
        <v>30</v>
      </c>
      <c r="I209" s="33">
        <v>30</v>
      </c>
      <c r="J209" s="33">
        <v>30</v>
      </c>
      <c r="K209" s="49">
        <v>30</v>
      </c>
      <c r="L209" s="33">
        <v>30</v>
      </c>
      <c r="M209" s="33">
        <v>30</v>
      </c>
      <c r="N209" s="39"/>
      <c r="O209" s="36"/>
      <c r="P209" s="36"/>
      <c r="Q209" s="32"/>
      <c r="R209" s="38"/>
      <c r="S209" s="38"/>
      <c r="T209" s="38"/>
      <c r="U209" s="32"/>
      <c r="V209" s="32"/>
      <c r="W209" s="32"/>
      <c r="X209" s="32"/>
    </row>
    <row r="210" spans="1:24" ht="15.75" customHeight="1" x14ac:dyDescent="0.25">
      <c r="A210" s="22" t="s">
        <v>5</v>
      </c>
      <c r="B210" s="36">
        <v>401535.88</v>
      </c>
      <c r="C210" s="36">
        <v>376783.12</v>
      </c>
      <c r="D210" s="36">
        <v>643895.5</v>
      </c>
      <c r="E210" s="36">
        <v>608187.1</v>
      </c>
      <c r="F210" s="36">
        <v>564092.81000000006</v>
      </c>
      <c r="G210" s="36">
        <v>485027.33</v>
      </c>
      <c r="H210" s="36">
        <v>445496.87</v>
      </c>
      <c r="I210" s="36">
        <v>641322.19000000006</v>
      </c>
      <c r="J210" s="36">
        <v>261819.65</v>
      </c>
      <c r="K210" s="50">
        <v>447285</v>
      </c>
      <c r="L210" s="36">
        <v>273857.63</v>
      </c>
      <c r="M210" s="36">
        <v>326403.13</v>
      </c>
      <c r="N210" s="39"/>
      <c r="O210" s="36">
        <f>SUM(B210:M210)</f>
        <v>5475706.21</v>
      </c>
      <c r="P210" s="36">
        <f>O210</f>
        <v>5475706.21</v>
      </c>
      <c r="Q210" s="38"/>
      <c r="R210" s="38"/>
      <c r="S210" s="38"/>
      <c r="T210" s="38"/>
      <c r="U210" s="32"/>
      <c r="V210" s="32"/>
      <c r="W210" s="32"/>
      <c r="X210" s="32"/>
    </row>
    <row r="211" spans="1:24" ht="15.75" customHeight="1" x14ac:dyDescent="0.25">
      <c r="A211" s="16" t="s">
        <v>6</v>
      </c>
      <c r="B211" s="36">
        <v>48184.3</v>
      </c>
      <c r="C211" s="36">
        <v>52749.649999999994</v>
      </c>
      <c r="D211" s="36">
        <v>90145.37000000001</v>
      </c>
      <c r="E211" s="36">
        <v>85146.200000000012</v>
      </c>
      <c r="F211" s="36">
        <v>78972.989999999991</v>
      </c>
      <c r="G211" s="36">
        <v>67903.820000000007</v>
      </c>
      <c r="H211" s="36">
        <v>62369.55</v>
      </c>
      <c r="I211" s="36">
        <v>89785.099999999991</v>
      </c>
      <c r="J211" s="36">
        <v>36654.76</v>
      </c>
      <c r="K211" s="50">
        <v>62619.9</v>
      </c>
      <c r="L211" s="36">
        <v>38340.07</v>
      </c>
      <c r="M211" s="36">
        <v>45696.43</v>
      </c>
      <c r="N211" s="39"/>
      <c r="O211" s="36">
        <f>SUM(B211:M211)</f>
        <v>758568.14</v>
      </c>
      <c r="P211" s="36">
        <f>O211</f>
        <v>758568.14</v>
      </c>
      <c r="Q211" s="38"/>
      <c r="R211" s="38"/>
      <c r="S211" s="38"/>
      <c r="T211" s="38"/>
      <c r="U211" s="32"/>
      <c r="V211" s="32"/>
      <c r="W211" s="32"/>
      <c r="X211" s="32"/>
    </row>
    <row r="212" spans="1:24" ht="15.75" customHeight="1" x14ac:dyDescent="0.25">
      <c r="A212" s="22" t="s">
        <v>7</v>
      </c>
      <c r="B212" s="36">
        <v>8030.7200000000012</v>
      </c>
      <c r="C212" s="36">
        <v>7535.6600000000008</v>
      </c>
      <c r="D212" s="36">
        <v>12877.91</v>
      </c>
      <c r="E212" s="36">
        <v>12163.74</v>
      </c>
      <c r="F212" s="36">
        <v>11281.859999999999</v>
      </c>
      <c r="G212" s="36">
        <v>9700.5400000000009</v>
      </c>
      <c r="H212" s="36">
        <v>8909.94</v>
      </c>
      <c r="I212" s="36">
        <v>12826.45</v>
      </c>
      <c r="J212" s="36">
        <v>5236.3999999999996</v>
      </c>
      <c r="K212" s="50">
        <v>8945.69</v>
      </c>
      <c r="L212" s="36">
        <v>5477.1500000000005</v>
      </c>
      <c r="M212" s="36">
        <v>6528.0700000000006</v>
      </c>
      <c r="N212" s="39"/>
      <c r="O212" s="36">
        <f>SUM(B212:M212)</f>
        <v>109514.12999999999</v>
      </c>
      <c r="P212" s="36">
        <f>O212</f>
        <v>109514.12999999999</v>
      </c>
      <c r="Q212" s="38"/>
      <c r="R212" s="38"/>
      <c r="S212" s="38"/>
      <c r="T212" s="38"/>
      <c r="U212" s="32"/>
      <c r="V212" s="32"/>
      <c r="W212" s="32"/>
      <c r="X212" s="32"/>
    </row>
    <row r="213" spans="1:24" ht="15.75" customHeight="1" x14ac:dyDescent="0.25">
      <c r="B213" s="33"/>
      <c r="C213" s="33"/>
      <c r="D213" s="33"/>
      <c r="E213" s="33"/>
      <c r="F213" s="33"/>
      <c r="G213" s="33"/>
      <c r="H213" s="32"/>
      <c r="I213" s="33"/>
      <c r="J213" s="33"/>
      <c r="K213" s="49"/>
      <c r="L213" s="33"/>
      <c r="M213" s="33"/>
      <c r="N213" s="32"/>
      <c r="O213" s="33"/>
      <c r="P213" s="33"/>
      <c r="Q213" s="32"/>
      <c r="R213" s="38"/>
      <c r="S213" s="38"/>
      <c r="T213" s="38"/>
      <c r="U213" s="32"/>
      <c r="V213" s="32"/>
      <c r="W213" s="32"/>
      <c r="X213" s="32"/>
    </row>
    <row r="214" spans="1:24" ht="15.75" customHeight="1" x14ac:dyDescent="0.25">
      <c r="A214" s="11" t="s">
        <v>20</v>
      </c>
      <c r="B214" s="36"/>
      <c r="C214" s="36"/>
      <c r="D214" s="36"/>
      <c r="E214" s="36"/>
      <c r="F214" s="36"/>
      <c r="G214" s="36"/>
      <c r="H214" s="32"/>
      <c r="I214" s="36"/>
      <c r="J214" s="36"/>
      <c r="K214" s="50"/>
      <c r="L214" s="36"/>
      <c r="M214" s="36"/>
      <c r="N214" s="32"/>
      <c r="O214" s="36"/>
      <c r="P214" s="36"/>
      <c r="Q214" s="32"/>
      <c r="R214" s="38"/>
      <c r="S214" s="38"/>
      <c r="T214" s="38"/>
      <c r="U214" s="32"/>
      <c r="V214" s="32"/>
      <c r="W214" s="32"/>
      <c r="X214" s="32"/>
    </row>
    <row r="215" spans="1:24" ht="15.75" customHeight="1" x14ac:dyDescent="0.25">
      <c r="A215" s="13" t="s">
        <v>4</v>
      </c>
      <c r="B215" s="33">
        <v>117</v>
      </c>
      <c r="C215" s="33">
        <v>117</v>
      </c>
      <c r="D215" s="33">
        <v>119.2</v>
      </c>
      <c r="E215" s="33">
        <v>122</v>
      </c>
      <c r="F215" s="33">
        <v>122.6</v>
      </c>
      <c r="G215" s="33">
        <v>123</v>
      </c>
      <c r="H215" s="33">
        <v>122.8</v>
      </c>
      <c r="I215" s="33">
        <v>122</v>
      </c>
      <c r="J215" s="33">
        <v>122</v>
      </c>
      <c r="K215" s="49">
        <v>122</v>
      </c>
      <c r="L215" s="33">
        <v>122</v>
      </c>
      <c r="M215" s="33">
        <v>122</v>
      </c>
      <c r="N215" s="32"/>
      <c r="O215" s="33"/>
      <c r="P215" s="33"/>
      <c r="Q215" s="32"/>
      <c r="R215" s="38"/>
      <c r="S215" s="38"/>
      <c r="T215" s="38"/>
      <c r="U215" s="32"/>
      <c r="V215" s="32"/>
      <c r="W215" s="32"/>
      <c r="X215" s="32"/>
    </row>
    <row r="216" spans="1:24" ht="15.75" customHeight="1" x14ac:dyDescent="0.25">
      <c r="A216" s="16" t="s">
        <v>5</v>
      </c>
      <c r="B216" s="36">
        <v>5470591.0599999996</v>
      </c>
      <c r="C216" s="36">
        <v>5404034.0900000008</v>
      </c>
      <c r="D216" s="36">
        <v>5300661.66</v>
      </c>
      <c r="E216" s="36">
        <v>6312486.9999999991</v>
      </c>
      <c r="F216" s="36">
        <v>5295857.6900000004</v>
      </c>
      <c r="G216" s="36">
        <v>6162798.1099999994</v>
      </c>
      <c r="H216" s="36">
        <v>5132828.63</v>
      </c>
      <c r="I216" s="36">
        <v>4379662.93</v>
      </c>
      <c r="J216" s="36">
        <v>5899056.3900000006</v>
      </c>
      <c r="K216" s="50">
        <v>5870256.5571428565</v>
      </c>
      <c r="L216" s="36">
        <v>5424037.5899999999</v>
      </c>
      <c r="M216" s="36">
        <v>4790475.1899999995</v>
      </c>
      <c r="N216" s="32"/>
      <c r="O216" s="36">
        <f>SUM(B216:M216)</f>
        <v>65442746.897142857</v>
      </c>
      <c r="P216" s="36">
        <f>O216+406538191</f>
        <v>471980937.89714289</v>
      </c>
      <c r="Q216" s="32"/>
      <c r="R216" s="38"/>
      <c r="S216" s="38"/>
      <c r="T216" s="38"/>
      <c r="U216" s="32"/>
      <c r="V216" s="32"/>
      <c r="W216" s="32"/>
      <c r="X216" s="32"/>
    </row>
    <row r="217" spans="1:24" ht="15.75" customHeight="1" x14ac:dyDescent="0.25">
      <c r="A217" s="16" t="s">
        <v>6</v>
      </c>
      <c r="B217" s="36">
        <v>656470.92999999993</v>
      </c>
      <c r="C217" s="36">
        <v>756564.77</v>
      </c>
      <c r="D217" s="36">
        <v>742092.62999999989</v>
      </c>
      <c r="E217" s="36">
        <v>883748.18</v>
      </c>
      <c r="F217" s="36">
        <v>741420.08</v>
      </c>
      <c r="G217" s="36">
        <v>862791.74</v>
      </c>
      <c r="H217" s="36">
        <v>718596.01</v>
      </c>
      <c r="I217" s="36">
        <v>613152.81000000006</v>
      </c>
      <c r="J217" s="36">
        <v>825867.8899999999</v>
      </c>
      <c r="K217" s="50">
        <v>821835.90999999992</v>
      </c>
      <c r="L217" s="36">
        <v>759365.27</v>
      </c>
      <c r="M217" s="36">
        <v>670666.53999999992</v>
      </c>
      <c r="N217" s="32"/>
      <c r="O217" s="36">
        <f>SUM(B217:M217)</f>
        <v>9052572.7599999998</v>
      </c>
      <c r="P217" s="36">
        <f>O217+51370387</f>
        <v>60422959.759999998</v>
      </c>
      <c r="Q217" s="32"/>
      <c r="R217" s="38"/>
      <c r="S217" s="38"/>
      <c r="T217" s="38"/>
      <c r="U217" s="32"/>
      <c r="V217" s="32"/>
      <c r="W217" s="32"/>
      <c r="X217" s="32"/>
    </row>
    <row r="218" spans="1:24" ht="15.75" customHeight="1" x14ac:dyDescent="0.25">
      <c r="A218" s="16" t="s">
        <v>7</v>
      </c>
      <c r="B218" s="36">
        <v>109411.82</v>
      </c>
      <c r="C218" s="36">
        <v>108080.67000000001</v>
      </c>
      <c r="D218" s="36">
        <v>106013.24</v>
      </c>
      <c r="E218" s="36">
        <v>126249.73</v>
      </c>
      <c r="F218" s="36">
        <v>105917.15000000001</v>
      </c>
      <c r="G218" s="36">
        <v>123255.94999999998</v>
      </c>
      <c r="H218" s="36">
        <v>102656.59</v>
      </c>
      <c r="I218" s="36">
        <v>87593.26</v>
      </c>
      <c r="J218" s="36">
        <v>117981.13</v>
      </c>
      <c r="K218" s="50">
        <v>117405.14000000001</v>
      </c>
      <c r="L218" s="36">
        <v>108480.76000000001</v>
      </c>
      <c r="M218" s="36">
        <v>95809.52</v>
      </c>
      <c r="N218" s="32"/>
      <c r="O218" s="36">
        <f>SUM(B218:M218)</f>
        <v>1308854.96</v>
      </c>
      <c r="P218" s="36">
        <f>O218+8130765</f>
        <v>9439619.9600000009</v>
      </c>
      <c r="Q218" s="32"/>
      <c r="R218" s="38"/>
      <c r="S218" s="38"/>
      <c r="T218" s="38"/>
      <c r="U218" s="32"/>
      <c r="V218" s="32"/>
      <c r="W218" s="32"/>
      <c r="X218" s="32"/>
    </row>
    <row r="219" spans="1:24" ht="15.75" customHeight="1" x14ac:dyDescent="0.25">
      <c r="A219" s="13" t="s">
        <v>8</v>
      </c>
      <c r="B219" s="33">
        <v>30</v>
      </c>
      <c r="C219" s="33">
        <v>30</v>
      </c>
      <c r="D219" s="33">
        <v>30</v>
      </c>
      <c r="E219" s="33">
        <v>30</v>
      </c>
      <c r="F219" s="33">
        <v>30</v>
      </c>
      <c r="G219" s="33">
        <v>30</v>
      </c>
      <c r="H219" s="33">
        <v>30</v>
      </c>
      <c r="I219" s="33">
        <v>30</v>
      </c>
      <c r="J219" s="33">
        <v>30</v>
      </c>
      <c r="K219" s="49">
        <v>30</v>
      </c>
      <c r="L219" s="33">
        <v>30</v>
      </c>
      <c r="M219" s="33">
        <v>30</v>
      </c>
      <c r="N219" s="32"/>
      <c r="O219" s="33"/>
      <c r="P219" s="33"/>
      <c r="Q219" s="32"/>
      <c r="R219" s="38"/>
      <c r="S219" s="38"/>
      <c r="T219" s="38"/>
      <c r="U219" s="32"/>
      <c r="V219" s="32"/>
      <c r="W219" s="32"/>
      <c r="X219" s="32"/>
    </row>
    <row r="220" spans="1:24" ht="15.75" customHeight="1" x14ac:dyDescent="0.25">
      <c r="A220" s="16" t="s">
        <v>5</v>
      </c>
      <c r="B220" s="36">
        <v>554596</v>
      </c>
      <c r="C220" s="36">
        <v>534523</v>
      </c>
      <c r="D220" s="36">
        <v>494960.01</v>
      </c>
      <c r="E220" s="36">
        <v>547273</v>
      </c>
      <c r="F220" s="36">
        <v>596747</v>
      </c>
      <c r="G220" s="36">
        <v>619971</v>
      </c>
      <c r="H220" s="36">
        <v>576509</v>
      </c>
      <c r="I220" s="36">
        <v>557172</v>
      </c>
      <c r="J220" s="36">
        <v>684591</v>
      </c>
      <c r="K220" s="50">
        <v>555275</v>
      </c>
      <c r="L220" s="36">
        <v>520725</v>
      </c>
      <c r="M220" s="36">
        <v>484401</v>
      </c>
      <c r="N220" s="32"/>
      <c r="O220" s="36">
        <f>SUM(B220:M220)</f>
        <v>6726743.0099999998</v>
      </c>
      <c r="P220" s="36">
        <f>O220+42330332</f>
        <v>49057075.009999998</v>
      </c>
      <c r="Q220" s="32"/>
      <c r="R220" s="38"/>
      <c r="S220" s="38"/>
      <c r="T220" s="38"/>
      <c r="U220" s="32"/>
      <c r="V220" s="32"/>
      <c r="W220" s="32"/>
      <c r="X220" s="32"/>
    </row>
    <row r="221" spans="1:24" ht="15.75" customHeight="1" x14ac:dyDescent="0.25">
      <c r="A221" s="16" t="s">
        <v>6</v>
      </c>
      <c r="B221" s="36">
        <v>66551.520000000004</v>
      </c>
      <c r="C221" s="36">
        <v>74833.22</v>
      </c>
      <c r="D221" s="36">
        <v>69294.399999999994</v>
      </c>
      <c r="E221" s="36">
        <v>76618.22</v>
      </c>
      <c r="F221" s="36">
        <v>83544.579999999987</v>
      </c>
      <c r="G221" s="36">
        <v>86795.94</v>
      </c>
      <c r="H221" s="36">
        <v>80711.259999999995</v>
      </c>
      <c r="I221" s="36">
        <v>78004.08</v>
      </c>
      <c r="J221" s="36">
        <v>95842.739999999991</v>
      </c>
      <c r="K221" s="50">
        <v>77738.5</v>
      </c>
      <c r="L221" s="36">
        <v>72901.5</v>
      </c>
      <c r="M221" s="36">
        <v>67816.140000000014</v>
      </c>
      <c r="N221" s="32"/>
      <c r="O221" s="36">
        <f>SUM(B221:M221)</f>
        <v>930652.09999999986</v>
      </c>
      <c r="P221" s="36">
        <f>O221+5384925</f>
        <v>6315577.0999999996</v>
      </c>
      <c r="Q221" s="32"/>
      <c r="R221" s="38"/>
      <c r="S221" s="38"/>
      <c r="T221" s="38"/>
      <c r="U221" s="32"/>
      <c r="V221" s="32"/>
      <c r="W221" s="32"/>
      <c r="X221" s="32"/>
    </row>
    <row r="222" spans="1:24" ht="15.75" customHeight="1" x14ac:dyDescent="0.25">
      <c r="A222" s="16" t="s">
        <v>7</v>
      </c>
      <c r="B222" s="36">
        <v>11091.920000000002</v>
      </c>
      <c r="C222" s="36">
        <v>10690.46</v>
      </c>
      <c r="D222" s="36">
        <v>9899.1999999999989</v>
      </c>
      <c r="E222" s="36">
        <v>10945.460000000001</v>
      </c>
      <c r="F222" s="36">
        <v>11934.939999999999</v>
      </c>
      <c r="G222" s="36">
        <v>12399.420000000002</v>
      </c>
      <c r="H222" s="36">
        <v>11530.180000000002</v>
      </c>
      <c r="I222" s="36">
        <v>11143.44</v>
      </c>
      <c r="J222" s="36">
        <v>13691.82</v>
      </c>
      <c r="K222" s="50">
        <v>11105.5</v>
      </c>
      <c r="L222" s="36">
        <v>10414.5</v>
      </c>
      <c r="M222" s="36">
        <v>9688.02</v>
      </c>
      <c r="N222" s="32"/>
      <c r="O222" s="36">
        <f>SUM(B222:M222)</f>
        <v>134534.85999999999</v>
      </c>
      <c r="P222" s="36">
        <f>O222+846606</f>
        <v>981140.86</v>
      </c>
      <c r="Q222" s="32"/>
      <c r="R222" s="38"/>
      <c r="S222" s="38"/>
      <c r="T222" s="38"/>
      <c r="U222" s="32"/>
      <c r="V222" s="32"/>
      <c r="W222" s="32"/>
      <c r="X222" s="32"/>
    </row>
    <row r="223" spans="1:24" ht="15.75" customHeight="1" x14ac:dyDescent="0.25">
      <c r="A223" s="13" t="s">
        <v>9</v>
      </c>
      <c r="B223" s="33">
        <v>87</v>
      </c>
      <c r="C223" s="33">
        <v>87</v>
      </c>
      <c r="D223" s="33">
        <v>89.2</v>
      </c>
      <c r="E223" s="33">
        <v>92</v>
      </c>
      <c r="F223" s="33">
        <v>92.6</v>
      </c>
      <c r="G223" s="33">
        <v>93</v>
      </c>
      <c r="H223" s="33">
        <v>92.8</v>
      </c>
      <c r="I223" s="33">
        <v>92</v>
      </c>
      <c r="J223" s="33">
        <v>92</v>
      </c>
      <c r="K223" s="49">
        <v>92</v>
      </c>
      <c r="L223" s="33">
        <v>92</v>
      </c>
      <c r="M223" s="33">
        <v>92</v>
      </c>
      <c r="N223" s="32"/>
      <c r="O223" s="33"/>
      <c r="P223" s="33"/>
      <c r="Q223" s="32"/>
      <c r="R223" s="38"/>
      <c r="S223" s="38"/>
      <c r="T223" s="38"/>
      <c r="U223" s="32"/>
      <c r="V223" s="32"/>
      <c r="W223" s="32"/>
      <c r="X223" s="32"/>
    </row>
    <row r="224" spans="1:24" ht="15.75" customHeight="1" x14ac:dyDescent="0.25">
      <c r="A224" s="16" t="s">
        <v>5</v>
      </c>
      <c r="B224" s="36">
        <v>4915995.0599999996</v>
      </c>
      <c r="C224" s="36">
        <v>4869511.0900000008</v>
      </c>
      <c r="D224" s="36">
        <v>4805701.6500000004</v>
      </c>
      <c r="E224" s="36">
        <v>5765213.9999999991</v>
      </c>
      <c r="F224" s="36">
        <v>4699110.6899999995</v>
      </c>
      <c r="G224" s="36">
        <v>5542827.1099999994</v>
      </c>
      <c r="H224" s="36">
        <v>4556319.63</v>
      </c>
      <c r="I224" s="36">
        <v>3822490.9299999997</v>
      </c>
      <c r="J224" s="36">
        <v>5214465.3900000006</v>
      </c>
      <c r="K224" s="50">
        <v>5314981.5271428563</v>
      </c>
      <c r="L224" s="36">
        <v>4903312.59</v>
      </c>
      <c r="M224" s="36">
        <v>4306074.1899999995</v>
      </c>
      <c r="N224" s="32"/>
      <c r="O224" s="36">
        <f t="shared" ref="O224:O234" si="9">SUM(B224:M224)</f>
        <v>58716003.857142866</v>
      </c>
      <c r="P224" s="36">
        <f>O224+362335516</f>
        <v>421051519.85714287</v>
      </c>
      <c r="Q224" s="32"/>
      <c r="R224" s="38"/>
      <c r="S224" s="38"/>
      <c r="T224" s="38"/>
      <c r="U224" s="32"/>
      <c r="V224" s="32"/>
      <c r="W224" s="32"/>
      <c r="X224" s="32"/>
    </row>
    <row r="225" spans="1:24" ht="15.75" customHeight="1" x14ac:dyDescent="0.25">
      <c r="A225" s="16" t="s">
        <v>6</v>
      </c>
      <c r="B225" s="36">
        <v>589919.41</v>
      </c>
      <c r="C225" s="36">
        <v>681731.55</v>
      </c>
      <c r="D225" s="36">
        <v>672798.23</v>
      </c>
      <c r="E225" s="36">
        <v>807129.96000000008</v>
      </c>
      <c r="F225" s="36">
        <v>657875.5</v>
      </c>
      <c r="G225" s="36">
        <v>775995.79999999993</v>
      </c>
      <c r="H225" s="36">
        <v>637884.75</v>
      </c>
      <c r="I225" s="36">
        <v>535148.73</v>
      </c>
      <c r="J225" s="36">
        <v>730025.15</v>
      </c>
      <c r="K225" s="50">
        <v>744097.40999999992</v>
      </c>
      <c r="L225" s="36">
        <v>686463.77</v>
      </c>
      <c r="M225" s="36">
        <v>602850.39999999991</v>
      </c>
      <c r="N225" s="32"/>
      <c r="O225" s="36">
        <f t="shared" si="9"/>
        <v>8121920.6600000001</v>
      </c>
      <c r="P225" s="36">
        <f>O225+45723335</f>
        <v>53845255.659999996</v>
      </c>
      <c r="Q225" s="32"/>
      <c r="R225" s="38"/>
      <c r="S225" s="38"/>
      <c r="T225" s="38"/>
      <c r="U225" s="32"/>
      <c r="V225" s="32"/>
      <c r="W225" s="32"/>
      <c r="X225" s="32"/>
    </row>
    <row r="226" spans="1:24" ht="15.75" customHeight="1" x14ac:dyDescent="0.25">
      <c r="A226" s="16" t="s">
        <v>7</v>
      </c>
      <c r="B226" s="36">
        <v>98319.9</v>
      </c>
      <c r="C226" s="36">
        <v>97390.209999999992</v>
      </c>
      <c r="D226" s="36">
        <v>96114.04</v>
      </c>
      <c r="E226" s="36">
        <v>115304.27</v>
      </c>
      <c r="F226" s="36">
        <v>93982.21</v>
      </c>
      <c r="G226" s="36">
        <v>110856.53</v>
      </c>
      <c r="H226" s="36">
        <v>91126.41</v>
      </c>
      <c r="I226" s="36">
        <v>76449.819999999992</v>
      </c>
      <c r="J226" s="36">
        <v>104289.31000000001</v>
      </c>
      <c r="K226" s="50">
        <v>106299.64</v>
      </c>
      <c r="L226" s="36">
        <v>98066.260000000009</v>
      </c>
      <c r="M226" s="36">
        <v>86121.500000000015</v>
      </c>
      <c r="N226" s="32"/>
      <c r="O226" s="36">
        <f t="shared" si="9"/>
        <v>1174320.1000000001</v>
      </c>
      <c r="P226" s="36">
        <f>O226+7246711</f>
        <v>8421031.0999999996</v>
      </c>
      <c r="Q226" s="32"/>
      <c r="R226" s="38"/>
      <c r="S226" s="38"/>
      <c r="T226" s="38"/>
      <c r="U226" s="32"/>
      <c r="V226" s="32"/>
      <c r="W226" s="32"/>
      <c r="X226" s="32"/>
    </row>
    <row r="227" spans="1:24" ht="15.75" customHeight="1" x14ac:dyDescent="0.25">
      <c r="A227" s="13" t="s">
        <v>10</v>
      </c>
      <c r="B227" s="33">
        <v>0</v>
      </c>
      <c r="C227" s="33">
        <v>0</v>
      </c>
      <c r="D227" s="33">
        <v>0</v>
      </c>
      <c r="E227" s="33">
        <v>0</v>
      </c>
      <c r="F227" s="33">
        <v>0</v>
      </c>
      <c r="G227" s="33">
        <v>0</v>
      </c>
      <c r="H227" s="33">
        <v>0</v>
      </c>
      <c r="I227" s="33">
        <v>0</v>
      </c>
      <c r="J227" s="33">
        <v>0</v>
      </c>
      <c r="K227" s="49" t="s">
        <v>43</v>
      </c>
      <c r="L227" s="33">
        <v>0</v>
      </c>
      <c r="M227" s="33">
        <v>0</v>
      </c>
      <c r="N227" s="32"/>
      <c r="O227" s="33"/>
      <c r="P227" s="33"/>
      <c r="Q227" s="32"/>
      <c r="R227" s="38"/>
      <c r="S227" s="38"/>
      <c r="T227" s="38"/>
      <c r="U227" s="32"/>
      <c r="V227" s="32"/>
      <c r="W227" s="32"/>
      <c r="X227" s="32"/>
    </row>
    <row r="228" spans="1:24" ht="15.75" customHeight="1" x14ac:dyDescent="0.25">
      <c r="A228" s="16" t="s">
        <v>5</v>
      </c>
      <c r="B228" s="36">
        <v>0</v>
      </c>
      <c r="C228" s="36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50">
        <v>0</v>
      </c>
      <c r="L228" s="36">
        <v>0</v>
      </c>
      <c r="M228" s="36">
        <v>0</v>
      </c>
      <c r="N228" s="32"/>
      <c r="O228" s="36">
        <f t="shared" si="9"/>
        <v>0</v>
      </c>
      <c r="P228" s="36">
        <f>O228+1872340</f>
        <v>1872340</v>
      </c>
      <c r="Q228" s="38"/>
      <c r="R228" s="38"/>
      <c r="S228" s="38"/>
      <c r="T228" s="38"/>
      <c r="U228" s="32"/>
      <c r="V228" s="32"/>
      <c r="W228" s="32"/>
      <c r="X228" s="32"/>
    </row>
    <row r="229" spans="1:24" ht="15.75" customHeight="1" x14ac:dyDescent="0.25">
      <c r="A229" s="16" t="s">
        <v>6</v>
      </c>
      <c r="B229" s="36">
        <v>0</v>
      </c>
      <c r="C229" s="36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50">
        <v>0</v>
      </c>
      <c r="L229" s="36">
        <v>0</v>
      </c>
      <c r="M229" s="36">
        <v>0</v>
      </c>
      <c r="N229" s="32"/>
      <c r="O229" s="36">
        <f t="shared" si="9"/>
        <v>0</v>
      </c>
      <c r="P229" s="36">
        <f>O229+262128</f>
        <v>262128</v>
      </c>
      <c r="Q229" s="38"/>
      <c r="R229" s="38"/>
      <c r="S229" s="38"/>
      <c r="T229" s="38"/>
      <c r="U229" s="32"/>
      <c r="V229" s="32"/>
      <c r="W229" s="32"/>
      <c r="X229" s="32"/>
    </row>
    <row r="230" spans="1:24" ht="15.75" customHeight="1" x14ac:dyDescent="0.25">
      <c r="A230" s="16" t="s">
        <v>7</v>
      </c>
      <c r="B230" s="36">
        <v>0</v>
      </c>
      <c r="C230" s="36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50">
        <v>0</v>
      </c>
      <c r="L230" s="36">
        <v>0</v>
      </c>
      <c r="M230" s="36">
        <v>0</v>
      </c>
      <c r="N230" s="32"/>
      <c r="O230" s="36">
        <f t="shared" si="9"/>
        <v>0</v>
      </c>
      <c r="P230" s="36">
        <f>O230+37447</f>
        <v>37447</v>
      </c>
      <c r="Q230" s="38"/>
      <c r="R230" s="38"/>
      <c r="S230" s="38"/>
      <c r="T230" s="38"/>
      <c r="U230" s="32"/>
      <c r="V230" s="32"/>
      <c r="W230" s="32"/>
      <c r="X230" s="32"/>
    </row>
    <row r="231" spans="1:24" ht="15.75" customHeight="1" x14ac:dyDescent="0.25">
      <c r="A231" s="13" t="s">
        <v>45</v>
      </c>
      <c r="B231" s="33">
        <v>0</v>
      </c>
      <c r="C231" s="33">
        <v>0</v>
      </c>
      <c r="D231" s="33">
        <v>0</v>
      </c>
      <c r="E231" s="33">
        <v>0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49" t="s">
        <v>43</v>
      </c>
      <c r="L231" s="33">
        <v>0</v>
      </c>
      <c r="M231" s="33">
        <v>0</v>
      </c>
      <c r="N231" s="32"/>
      <c r="O231" s="33"/>
      <c r="P231" s="33"/>
      <c r="Q231" s="32"/>
      <c r="R231" s="38"/>
      <c r="S231" s="38"/>
      <c r="T231" s="38"/>
      <c r="U231" s="32"/>
      <c r="V231" s="32"/>
      <c r="W231" s="32"/>
      <c r="X231" s="32"/>
    </row>
    <row r="232" spans="1:24" ht="15.75" customHeight="1" x14ac:dyDescent="0.25">
      <c r="A232" s="16" t="s">
        <v>5</v>
      </c>
      <c r="B232" s="36">
        <v>0</v>
      </c>
      <c r="C232" s="36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50">
        <v>0</v>
      </c>
      <c r="L232" s="36">
        <v>0</v>
      </c>
      <c r="M232" s="36">
        <v>0</v>
      </c>
      <c r="N232" s="32"/>
      <c r="O232" s="36">
        <f t="shared" si="9"/>
        <v>0</v>
      </c>
      <c r="P232" s="36">
        <f>O232</f>
        <v>0</v>
      </c>
      <c r="Q232" s="32"/>
      <c r="R232" s="38"/>
      <c r="S232" s="38"/>
      <c r="T232" s="38"/>
      <c r="U232" s="32"/>
      <c r="V232" s="32"/>
      <c r="W232" s="32"/>
      <c r="X232" s="32"/>
    </row>
    <row r="233" spans="1:24" ht="15.75" customHeight="1" x14ac:dyDescent="0.25">
      <c r="A233" s="16" t="s">
        <v>6</v>
      </c>
      <c r="B233" s="36">
        <v>0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50">
        <v>0</v>
      </c>
      <c r="L233" s="36">
        <v>0</v>
      </c>
      <c r="M233" s="36">
        <v>0</v>
      </c>
      <c r="N233" s="32"/>
      <c r="O233" s="36">
        <f t="shared" si="9"/>
        <v>0</v>
      </c>
      <c r="P233" s="36">
        <f>O233</f>
        <v>0</v>
      </c>
      <c r="Q233" s="32"/>
      <c r="R233" s="38"/>
      <c r="S233" s="38"/>
      <c r="T233" s="38"/>
      <c r="U233" s="32"/>
      <c r="V233" s="32"/>
      <c r="W233" s="32"/>
      <c r="X233" s="32"/>
    </row>
    <row r="234" spans="1:24" ht="15.75" customHeight="1" x14ac:dyDescent="0.25">
      <c r="A234" s="16" t="s">
        <v>7</v>
      </c>
      <c r="B234" s="36">
        <v>0</v>
      </c>
      <c r="C234" s="36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50">
        <v>0</v>
      </c>
      <c r="L234" s="36">
        <v>0</v>
      </c>
      <c r="M234" s="36">
        <v>0</v>
      </c>
      <c r="N234" s="32"/>
      <c r="O234" s="36">
        <f t="shared" si="9"/>
        <v>0</v>
      </c>
      <c r="P234" s="36">
        <f>O234</f>
        <v>0</v>
      </c>
      <c r="Q234" s="32"/>
      <c r="R234" s="38"/>
      <c r="S234" s="38"/>
      <c r="T234" s="38"/>
      <c r="U234" s="32"/>
      <c r="V234" s="32"/>
      <c r="W234" s="32"/>
      <c r="X234" s="32"/>
    </row>
    <row r="235" spans="1:24" ht="15.75" customHeight="1" x14ac:dyDescent="0.25">
      <c r="A235" s="21" t="s">
        <v>11</v>
      </c>
      <c r="B235" s="33">
        <v>0</v>
      </c>
      <c r="C235" s="33">
        <v>0</v>
      </c>
      <c r="D235" s="33">
        <v>0</v>
      </c>
      <c r="E235" s="33">
        <v>0</v>
      </c>
      <c r="F235" s="33">
        <v>0</v>
      </c>
      <c r="G235" s="33">
        <v>0</v>
      </c>
      <c r="H235" s="33">
        <v>0</v>
      </c>
      <c r="I235" s="33">
        <v>0</v>
      </c>
      <c r="J235" s="33">
        <v>0</v>
      </c>
      <c r="K235" s="33">
        <v>0</v>
      </c>
      <c r="L235" s="33">
        <v>0</v>
      </c>
      <c r="M235" s="33">
        <v>0</v>
      </c>
      <c r="N235" s="32"/>
      <c r="O235" s="36"/>
      <c r="P235" s="36"/>
      <c r="Q235" s="32"/>
      <c r="R235" s="38"/>
      <c r="S235" s="38"/>
      <c r="T235" s="38"/>
      <c r="U235" s="32"/>
      <c r="V235" s="32"/>
      <c r="W235" s="32"/>
      <c r="X235" s="32"/>
    </row>
    <row r="236" spans="1:24" ht="15.75" customHeight="1" x14ac:dyDescent="0.25">
      <c r="A236" s="22" t="s">
        <v>5</v>
      </c>
      <c r="B236" s="36">
        <v>0</v>
      </c>
      <c r="C236" s="36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2"/>
      <c r="O236" s="36">
        <f t="shared" ref="O236:O238" si="10">SUM(B236:M236)</f>
        <v>0</v>
      </c>
      <c r="P236" s="36">
        <f>O236</f>
        <v>0</v>
      </c>
      <c r="Q236" s="32"/>
      <c r="R236" s="38"/>
      <c r="S236" s="38"/>
      <c r="T236" s="38"/>
      <c r="U236" s="32"/>
      <c r="V236" s="32"/>
      <c r="W236" s="32"/>
      <c r="X236" s="32"/>
    </row>
    <row r="237" spans="1:24" ht="15.75" customHeight="1" x14ac:dyDescent="0.25">
      <c r="A237" s="16" t="s">
        <v>6</v>
      </c>
      <c r="B237" s="36">
        <v>0</v>
      </c>
      <c r="C237" s="36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2"/>
      <c r="O237" s="36">
        <f t="shared" si="10"/>
        <v>0</v>
      </c>
      <c r="P237" s="36">
        <f>O237</f>
        <v>0</v>
      </c>
      <c r="Q237" s="32"/>
      <c r="R237" s="38"/>
      <c r="S237" s="38"/>
      <c r="T237" s="38"/>
      <c r="U237" s="32"/>
      <c r="V237" s="32"/>
      <c r="W237" s="32"/>
      <c r="X237" s="32"/>
    </row>
    <row r="238" spans="1:24" ht="15.75" customHeight="1" x14ac:dyDescent="0.25">
      <c r="A238" s="22" t="s">
        <v>7</v>
      </c>
      <c r="B238" s="36">
        <v>0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2"/>
      <c r="O238" s="36">
        <f t="shared" si="10"/>
        <v>0</v>
      </c>
      <c r="P238" s="36">
        <f>O238</f>
        <v>0</v>
      </c>
      <c r="Q238" s="32"/>
      <c r="R238" s="38"/>
      <c r="S238" s="38"/>
      <c r="T238" s="38"/>
      <c r="U238" s="32"/>
      <c r="V238" s="32"/>
      <c r="W238" s="32"/>
      <c r="X238" s="32"/>
    </row>
    <row r="239" spans="1:24" ht="15.75" customHeight="1" x14ac:dyDescent="0.25">
      <c r="A239" s="16"/>
      <c r="B239" s="36"/>
      <c r="C239" s="36"/>
      <c r="D239" s="36"/>
      <c r="E239" s="36"/>
      <c r="F239" s="36"/>
      <c r="G239" s="36"/>
      <c r="H239" s="32"/>
      <c r="I239" s="36"/>
      <c r="J239" s="36"/>
      <c r="K239" s="50"/>
      <c r="L239" s="36"/>
      <c r="M239" s="36"/>
      <c r="N239" s="32"/>
      <c r="O239" s="36"/>
      <c r="P239" s="36"/>
      <c r="Q239" s="32"/>
      <c r="R239" s="38"/>
      <c r="S239" s="38"/>
      <c r="T239" s="38"/>
      <c r="U239" s="32"/>
      <c r="V239" s="32"/>
      <c r="W239" s="32"/>
      <c r="X239" s="32"/>
    </row>
    <row r="240" spans="1:24" ht="15.75" customHeight="1" x14ac:dyDescent="0.25">
      <c r="A240" s="11" t="s">
        <v>21</v>
      </c>
      <c r="B240" s="33"/>
      <c r="C240" s="33"/>
      <c r="D240" s="33"/>
      <c r="E240" s="33"/>
      <c r="F240" s="33"/>
      <c r="G240" s="33"/>
      <c r="H240" s="32"/>
      <c r="I240" s="33"/>
      <c r="J240" s="33"/>
      <c r="K240" s="49"/>
      <c r="L240" s="33"/>
      <c r="M240" s="33"/>
      <c r="N240" s="32"/>
      <c r="O240" s="33"/>
      <c r="P240" s="33"/>
      <c r="Q240" s="32"/>
      <c r="R240" s="38"/>
      <c r="S240" s="38"/>
      <c r="T240" s="38"/>
      <c r="U240" s="32"/>
      <c r="V240" s="32"/>
      <c r="W240" s="32"/>
      <c r="X240" s="32"/>
    </row>
    <row r="241" spans="1:24" ht="15.75" customHeight="1" x14ac:dyDescent="0.25">
      <c r="A241" s="13" t="s">
        <v>4</v>
      </c>
      <c r="B241" s="33">
        <v>132</v>
      </c>
      <c r="C241" s="33">
        <v>132</v>
      </c>
      <c r="D241" s="33">
        <v>132</v>
      </c>
      <c r="E241" s="33">
        <v>132</v>
      </c>
      <c r="F241" s="33">
        <v>131.6</v>
      </c>
      <c r="G241" s="33">
        <v>136</v>
      </c>
      <c r="H241" s="33">
        <v>136</v>
      </c>
      <c r="I241" s="33">
        <v>136</v>
      </c>
      <c r="J241" s="33">
        <v>135.95999999999998</v>
      </c>
      <c r="K241" s="49">
        <v>136.72</v>
      </c>
      <c r="L241" s="33">
        <v>137.4</v>
      </c>
      <c r="M241" s="33">
        <v>139.92000000000002</v>
      </c>
      <c r="N241" s="32"/>
      <c r="O241" s="33"/>
      <c r="P241" s="33"/>
      <c r="Q241" s="32"/>
      <c r="R241" s="38"/>
      <c r="S241" s="38"/>
      <c r="T241" s="38"/>
      <c r="U241" s="32"/>
      <c r="V241" s="32"/>
      <c r="W241" s="32"/>
      <c r="X241" s="32"/>
    </row>
    <row r="242" spans="1:24" ht="15.75" customHeight="1" x14ac:dyDescent="0.25">
      <c r="A242" s="16" t="s">
        <v>5</v>
      </c>
      <c r="B242" s="36">
        <v>9276205.25</v>
      </c>
      <c r="C242" s="36">
        <v>8509687</v>
      </c>
      <c r="D242" s="36">
        <v>8762325.25</v>
      </c>
      <c r="E242" s="36">
        <v>10657744.75</v>
      </c>
      <c r="F242" s="36">
        <v>10301474</v>
      </c>
      <c r="G242" s="36">
        <v>10165489.77</v>
      </c>
      <c r="H242" s="36">
        <v>10999102.65</v>
      </c>
      <c r="I242" s="36">
        <v>7641903.8500000006</v>
      </c>
      <c r="J242" s="36">
        <v>10611392.949999999</v>
      </c>
      <c r="K242" s="50">
        <v>10419538.369999999</v>
      </c>
      <c r="L242" s="36">
        <v>11447285.520000001</v>
      </c>
      <c r="M242" s="36">
        <v>9900928.9100000001</v>
      </c>
      <c r="N242" s="32"/>
      <c r="O242" s="36">
        <f>SUM(B242:M242)</f>
        <v>118693078.27</v>
      </c>
      <c r="P242" s="36">
        <f>O242+504392915</f>
        <v>623085993.26999998</v>
      </c>
      <c r="Q242" s="32"/>
      <c r="R242" s="38"/>
      <c r="S242" s="38"/>
      <c r="T242" s="38"/>
      <c r="U242" s="32"/>
      <c r="V242" s="32"/>
      <c r="W242" s="32"/>
      <c r="X242" s="32"/>
    </row>
    <row r="243" spans="1:24" ht="15.75" customHeight="1" x14ac:dyDescent="0.25">
      <c r="A243" s="16" t="s">
        <v>6</v>
      </c>
      <c r="B243" s="36">
        <v>1144281.49</v>
      </c>
      <c r="C243" s="36">
        <v>1215165.7099999997</v>
      </c>
      <c r="D243" s="36">
        <v>1252495.3399999999</v>
      </c>
      <c r="E243" s="36">
        <v>1515809.99</v>
      </c>
      <c r="F243" s="36">
        <v>1471222.9899999998</v>
      </c>
      <c r="G243" s="36">
        <v>1444876.9100000001</v>
      </c>
      <c r="H243" s="36">
        <v>1568656.74</v>
      </c>
      <c r="I243" s="36">
        <v>1101775.03</v>
      </c>
      <c r="J243" s="36">
        <v>1515094.1199999999</v>
      </c>
      <c r="K243" s="50">
        <v>1496710.33</v>
      </c>
      <c r="L243" s="36">
        <v>1642971.2100000002</v>
      </c>
      <c r="M243" s="36">
        <v>1397708.59</v>
      </c>
      <c r="N243" s="32"/>
      <c r="O243" s="36">
        <f>SUM(B243:M243)</f>
        <v>16766768.449999999</v>
      </c>
      <c r="P243" s="36">
        <f>O243+64995190</f>
        <v>81761958.450000003</v>
      </c>
      <c r="Q243" s="32"/>
      <c r="R243" s="38"/>
      <c r="S243" s="38"/>
      <c r="T243" s="38"/>
      <c r="U243" s="32"/>
      <c r="V243" s="32"/>
      <c r="W243" s="32"/>
      <c r="X243" s="32"/>
    </row>
    <row r="244" spans="1:24" ht="15.75" customHeight="1" x14ac:dyDescent="0.25">
      <c r="A244" s="16" t="s">
        <v>7</v>
      </c>
      <c r="B244" s="36">
        <v>185524.11</v>
      </c>
      <c r="C244" s="36">
        <v>170193.75</v>
      </c>
      <c r="D244" s="36">
        <v>175246.52000000002</v>
      </c>
      <c r="E244" s="36">
        <v>213154.91</v>
      </c>
      <c r="F244" s="36">
        <v>206029.49000000002</v>
      </c>
      <c r="G244" s="36">
        <v>203309.82</v>
      </c>
      <c r="H244" s="36">
        <v>219982.06000000003</v>
      </c>
      <c r="I244" s="36">
        <v>152838.09000000003</v>
      </c>
      <c r="J244" s="36">
        <v>212227.87999999995</v>
      </c>
      <c r="K244" s="50">
        <v>208390.78</v>
      </c>
      <c r="L244" s="36">
        <v>228945.72999999995</v>
      </c>
      <c r="M244" s="36">
        <v>198018.61</v>
      </c>
      <c r="N244" s="32"/>
      <c r="O244" s="36">
        <f>SUM(B244:M244)</f>
        <v>2373861.75</v>
      </c>
      <c r="P244" s="36">
        <f>O244+10087859</f>
        <v>12461720.75</v>
      </c>
      <c r="Q244" s="32"/>
      <c r="R244" s="38"/>
      <c r="S244" s="38"/>
      <c r="T244" s="38"/>
      <c r="U244" s="32"/>
      <c r="V244" s="32"/>
      <c r="W244" s="32"/>
      <c r="X244" s="32"/>
    </row>
    <row r="245" spans="1:24" ht="15.75" customHeight="1" x14ac:dyDescent="0.25">
      <c r="A245" s="13" t="s">
        <v>8</v>
      </c>
      <c r="B245" s="33">
        <v>28</v>
      </c>
      <c r="C245" s="33">
        <v>28</v>
      </c>
      <c r="D245" s="33">
        <v>28</v>
      </c>
      <c r="E245" s="33">
        <v>28</v>
      </c>
      <c r="F245" s="33">
        <v>28</v>
      </c>
      <c r="G245" s="33">
        <v>28</v>
      </c>
      <c r="H245" s="33">
        <v>28</v>
      </c>
      <c r="I245" s="33">
        <v>28</v>
      </c>
      <c r="J245" s="33">
        <v>28</v>
      </c>
      <c r="K245" s="49">
        <v>28</v>
      </c>
      <c r="L245" s="33">
        <v>28</v>
      </c>
      <c r="M245" s="33">
        <v>28</v>
      </c>
      <c r="N245" s="32"/>
      <c r="O245" s="33"/>
      <c r="P245" s="33"/>
      <c r="Q245" s="32"/>
      <c r="R245" s="38"/>
      <c r="S245" s="38"/>
      <c r="T245" s="38"/>
      <c r="U245" s="32"/>
      <c r="V245" s="32"/>
      <c r="W245" s="32"/>
      <c r="X245" s="32"/>
    </row>
    <row r="246" spans="1:24" ht="15.75" customHeight="1" x14ac:dyDescent="0.25">
      <c r="A246" s="16" t="s">
        <v>5</v>
      </c>
      <c r="B246" s="36">
        <v>608102</v>
      </c>
      <c r="C246" s="36">
        <v>625350</v>
      </c>
      <c r="D246" s="36">
        <v>573601</v>
      </c>
      <c r="E246" s="36">
        <v>635107</v>
      </c>
      <c r="F246" s="36">
        <v>599987</v>
      </c>
      <c r="G246" s="36">
        <v>625918</v>
      </c>
      <c r="H246" s="36">
        <v>648709</v>
      </c>
      <c r="I246" s="36">
        <v>658985</v>
      </c>
      <c r="J246" s="36">
        <v>798076</v>
      </c>
      <c r="K246" s="50">
        <v>655133</v>
      </c>
      <c r="L246" s="36">
        <v>671281</v>
      </c>
      <c r="M246" s="36">
        <v>622711</v>
      </c>
      <c r="N246" s="32"/>
      <c r="O246" s="36">
        <f>SUM(B246:M246)</f>
        <v>7722960</v>
      </c>
      <c r="P246" s="36">
        <f>O246+11061790</f>
        <v>18784750</v>
      </c>
      <c r="Q246" s="32"/>
      <c r="R246" s="38"/>
      <c r="S246" s="38"/>
      <c r="T246" s="38"/>
      <c r="U246" s="32"/>
      <c r="V246" s="32"/>
      <c r="W246" s="32"/>
      <c r="X246" s="32"/>
    </row>
    <row r="247" spans="1:24" ht="15.75" customHeight="1" x14ac:dyDescent="0.25">
      <c r="A247" s="16" t="s">
        <v>6</v>
      </c>
      <c r="B247" s="36">
        <v>72972.239999999991</v>
      </c>
      <c r="C247" s="36">
        <v>87549</v>
      </c>
      <c r="D247" s="36">
        <v>80304.14</v>
      </c>
      <c r="E247" s="36">
        <v>88914.98</v>
      </c>
      <c r="F247" s="36">
        <v>83998.18</v>
      </c>
      <c r="G247" s="36">
        <v>87628.51999999999</v>
      </c>
      <c r="H247" s="36">
        <v>90819.26</v>
      </c>
      <c r="I247" s="36">
        <v>92257.9</v>
      </c>
      <c r="J247" s="36">
        <v>111730.64</v>
      </c>
      <c r="K247" s="50">
        <v>91718.62</v>
      </c>
      <c r="L247" s="36">
        <v>93979.34</v>
      </c>
      <c r="M247" s="36">
        <v>87179.540000000008</v>
      </c>
      <c r="N247" s="32"/>
      <c r="O247" s="36">
        <f>SUM(B247:M247)</f>
        <v>1069052.3599999999</v>
      </c>
      <c r="P247" s="36">
        <f>O247+1327415</f>
        <v>2396467.36</v>
      </c>
      <c r="Q247" s="32"/>
      <c r="R247" s="38"/>
      <c r="S247" s="38"/>
      <c r="T247" s="38"/>
      <c r="U247" s="32"/>
      <c r="V247" s="32"/>
      <c r="W247" s="32"/>
      <c r="X247" s="32"/>
    </row>
    <row r="248" spans="1:24" ht="15.75" customHeight="1" x14ac:dyDescent="0.25">
      <c r="A248" s="16" t="s">
        <v>7</v>
      </c>
      <c r="B248" s="36">
        <v>12162.04</v>
      </c>
      <c r="C248" s="36">
        <v>12507</v>
      </c>
      <c r="D248" s="36">
        <v>11472.019999999999</v>
      </c>
      <c r="E248" s="36">
        <v>12702.14</v>
      </c>
      <c r="F248" s="36">
        <v>11999.739999999998</v>
      </c>
      <c r="G248" s="36">
        <v>12518.360000000002</v>
      </c>
      <c r="H248" s="36">
        <v>12974.18</v>
      </c>
      <c r="I248" s="36">
        <v>13179.7</v>
      </c>
      <c r="J248" s="36">
        <v>15961.52</v>
      </c>
      <c r="K248" s="50">
        <v>13102.660000000002</v>
      </c>
      <c r="L248" s="36">
        <v>13425.62</v>
      </c>
      <c r="M248" s="36">
        <v>12454.220000000001</v>
      </c>
      <c r="N248" s="32"/>
      <c r="O248" s="36">
        <f>SUM(B248:M248)</f>
        <v>154459.20000000001</v>
      </c>
      <c r="P248" s="36">
        <f>O248+221236</f>
        <v>375695.2</v>
      </c>
      <c r="Q248" s="32"/>
      <c r="R248" s="38"/>
      <c r="S248" s="38"/>
      <c r="T248" s="38"/>
      <c r="U248" s="32"/>
      <c r="V248" s="32"/>
      <c r="W248" s="32"/>
      <c r="X248" s="32"/>
    </row>
    <row r="249" spans="1:24" ht="15.75" customHeight="1" x14ac:dyDescent="0.25">
      <c r="A249" s="13" t="s">
        <v>9</v>
      </c>
      <c r="B249" s="33">
        <v>103</v>
      </c>
      <c r="C249" s="33">
        <v>103</v>
      </c>
      <c r="D249" s="33">
        <v>103</v>
      </c>
      <c r="E249" s="33">
        <v>103</v>
      </c>
      <c r="F249" s="33">
        <v>102.6</v>
      </c>
      <c r="G249" s="33">
        <v>102</v>
      </c>
      <c r="H249" s="33">
        <v>102</v>
      </c>
      <c r="I249" s="33">
        <v>102</v>
      </c>
      <c r="J249" s="33">
        <v>102</v>
      </c>
      <c r="K249" s="49">
        <v>102.8</v>
      </c>
      <c r="L249" s="33">
        <v>103.6</v>
      </c>
      <c r="M249" s="33">
        <v>104</v>
      </c>
      <c r="N249" s="32"/>
      <c r="O249" s="33"/>
      <c r="P249" s="33"/>
      <c r="Q249" s="32"/>
      <c r="R249" s="38"/>
      <c r="S249" s="38"/>
      <c r="T249" s="38"/>
      <c r="U249" s="32"/>
      <c r="V249" s="32"/>
      <c r="W249" s="32"/>
      <c r="X249" s="32"/>
    </row>
    <row r="250" spans="1:24" ht="15.75" customHeight="1" x14ac:dyDescent="0.25">
      <c r="A250" s="16" t="s">
        <v>5</v>
      </c>
      <c r="B250" s="36">
        <v>8576524.25</v>
      </c>
      <c r="C250" s="36">
        <v>7814309</v>
      </c>
      <c r="D250" s="36">
        <v>8112930.75</v>
      </c>
      <c r="E250" s="36">
        <v>9952856.25</v>
      </c>
      <c r="F250" s="36">
        <v>9616144</v>
      </c>
      <c r="G250" s="36">
        <v>9424701</v>
      </c>
      <c r="H250" s="36">
        <v>10028962.5</v>
      </c>
      <c r="I250" s="36">
        <v>6687890.75</v>
      </c>
      <c r="J250" s="36">
        <v>9409085.25</v>
      </c>
      <c r="K250" s="50">
        <v>9338254.5</v>
      </c>
      <c r="L250" s="36">
        <v>10353589.379999999</v>
      </c>
      <c r="M250" s="36">
        <v>8917252.1300000008</v>
      </c>
      <c r="N250" s="32"/>
      <c r="O250" s="36">
        <f t="shared" ref="O250:O256" si="11">SUM(B250:M250)</f>
        <v>108232499.75999999</v>
      </c>
      <c r="P250" s="36">
        <f>O250+489119791</f>
        <v>597352290.75999999</v>
      </c>
      <c r="Q250" s="32"/>
      <c r="R250" s="38"/>
      <c r="S250" s="38"/>
      <c r="T250" s="38"/>
      <c r="U250" s="32"/>
      <c r="V250" s="32"/>
      <c r="W250" s="32"/>
      <c r="X250" s="32"/>
    </row>
    <row r="251" spans="1:24" ht="15.75" customHeight="1" x14ac:dyDescent="0.25">
      <c r="A251" s="16" t="s">
        <v>6</v>
      </c>
      <c r="B251" s="36">
        <v>1029182.91</v>
      </c>
      <c r="C251" s="36">
        <v>1094003.27</v>
      </c>
      <c r="D251" s="36">
        <v>1135810.3199999998</v>
      </c>
      <c r="E251" s="36">
        <v>1393399.89</v>
      </c>
      <c r="F251" s="36">
        <v>1346260.17</v>
      </c>
      <c r="G251" s="36">
        <v>1319458.1599999999</v>
      </c>
      <c r="H251" s="36">
        <v>1404054.7600000002</v>
      </c>
      <c r="I251" s="36">
        <v>936304.71</v>
      </c>
      <c r="J251" s="36">
        <v>1317271.95</v>
      </c>
      <c r="K251" s="50">
        <v>1307355.6400000001</v>
      </c>
      <c r="L251" s="36">
        <v>1449502.5399999998</v>
      </c>
      <c r="M251" s="36">
        <v>1248415.3199999998</v>
      </c>
      <c r="N251" s="32"/>
      <c r="O251" s="36">
        <f t="shared" si="11"/>
        <v>14981019.640000001</v>
      </c>
      <c r="P251" s="36">
        <f>O251+61730562</f>
        <v>76711581.640000001</v>
      </c>
      <c r="Q251" s="32"/>
      <c r="R251" s="38"/>
      <c r="S251" s="38"/>
      <c r="T251" s="38"/>
      <c r="U251" s="32"/>
      <c r="V251" s="32"/>
      <c r="W251" s="32"/>
      <c r="X251" s="32"/>
    </row>
    <row r="252" spans="1:24" ht="15.75" customHeight="1" x14ac:dyDescent="0.25">
      <c r="A252" s="16" t="s">
        <v>7</v>
      </c>
      <c r="B252" s="36">
        <v>171530.49</v>
      </c>
      <c r="C252" s="36">
        <v>156286.18999999997</v>
      </c>
      <c r="D252" s="36">
        <v>162258.63</v>
      </c>
      <c r="E252" s="36">
        <v>199057.13999999998</v>
      </c>
      <c r="F252" s="36">
        <v>192322.89</v>
      </c>
      <c r="G252" s="36">
        <v>188494.04</v>
      </c>
      <c r="H252" s="36">
        <v>200579.25999999998</v>
      </c>
      <c r="I252" s="36">
        <v>133757.82</v>
      </c>
      <c r="J252" s="36">
        <v>188181.72</v>
      </c>
      <c r="K252" s="50">
        <v>186765.09999999998</v>
      </c>
      <c r="L252" s="36">
        <v>207071.81</v>
      </c>
      <c r="M252" s="36">
        <v>178345.06</v>
      </c>
      <c r="N252" s="32"/>
      <c r="O252" s="36">
        <f t="shared" si="11"/>
        <v>2164650.15</v>
      </c>
      <c r="P252" s="36">
        <f>O252+9782396</f>
        <v>11947046.15</v>
      </c>
      <c r="Q252" s="32"/>
      <c r="R252" s="38"/>
      <c r="S252" s="38"/>
      <c r="T252" s="38"/>
      <c r="U252" s="32"/>
      <c r="V252" s="32"/>
      <c r="W252" s="32"/>
      <c r="X252" s="32"/>
    </row>
    <row r="253" spans="1:24" ht="15.75" customHeight="1" x14ac:dyDescent="0.25">
      <c r="A253" s="13" t="s">
        <v>10</v>
      </c>
      <c r="B253" s="33">
        <v>0</v>
      </c>
      <c r="C253" s="33">
        <v>0</v>
      </c>
      <c r="D253" s="33">
        <v>0</v>
      </c>
      <c r="E253" s="33">
        <v>0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49" t="s">
        <v>43</v>
      </c>
      <c r="L253" s="49" t="s">
        <v>43</v>
      </c>
      <c r="M253" s="33">
        <v>0</v>
      </c>
      <c r="N253" s="32"/>
      <c r="O253" s="33"/>
      <c r="P253" s="33"/>
      <c r="Q253" s="32"/>
      <c r="R253" s="38"/>
      <c r="S253" s="38"/>
      <c r="T253" s="38"/>
      <c r="U253" s="32"/>
      <c r="V253" s="32"/>
      <c r="W253" s="32"/>
      <c r="X253" s="32"/>
    </row>
    <row r="254" spans="1:24" ht="15.75" customHeight="1" x14ac:dyDescent="0.25">
      <c r="A254" s="16" t="s">
        <v>5</v>
      </c>
      <c r="B254" s="36">
        <v>0</v>
      </c>
      <c r="C254" s="36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50">
        <v>0</v>
      </c>
      <c r="L254" s="36">
        <v>0</v>
      </c>
      <c r="M254" s="36">
        <v>0</v>
      </c>
      <c r="N254" s="32"/>
      <c r="O254" s="36">
        <f t="shared" si="11"/>
        <v>0</v>
      </c>
      <c r="P254" s="36">
        <f>O254</f>
        <v>0</v>
      </c>
      <c r="Q254" s="32"/>
      <c r="R254" s="38"/>
      <c r="S254" s="38"/>
      <c r="T254" s="38"/>
      <c r="U254" s="32"/>
      <c r="V254" s="32"/>
      <c r="W254" s="32"/>
      <c r="X254" s="32"/>
    </row>
    <row r="255" spans="1:24" ht="15.75" customHeight="1" x14ac:dyDescent="0.25">
      <c r="A255" s="16" t="s">
        <v>6</v>
      </c>
      <c r="B255" s="36">
        <v>0</v>
      </c>
      <c r="C255" s="36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50">
        <v>0</v>
      </c>
      <c r="L255" s="36">
        <v>0</v>
      </c>
      <c r="M255" s="36">
        <v>0</v>
      </c>
      <c r="N255" s="32"/>
      <c r="O255" s="36">
        <f t="shared" si="11"/>
        <v>0</v>
      </c>
      <c r="P255" s="36">
        <f>O255</f>
        <v>0</v>
      </c>
      <c r="Q255" s="32"/>
      <c r="R255" s="38"/>
      <c r="S255" s="38"/>
      <c r="T255" s="38"/>
      <c r="U255" s="32"/>
      <c r="V255" s="32"/>
      <c r="W255" s="32"/>
      <c r="X255" s="32"/>
    </row>
    <row r="256" spans="1:24" ht="15.75" customHeight="1" x14ac:dyDescent="0.25">
      <c r="A256" s="16" t="s">
        <v>7</v>
      </c>
      <c r="B256" s="36">
        <v>0</v>
      </c>
      <c r="C256" s="36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50">
        <v>0</v>
      </c>
      <c r="L256" s="36">
        <v>0</v>
      </c>
      <c r="M256" s="36">
        <v>0</v>
      </c>
      <c r="N256" s="32"/>
      <c r="O256" s="36">
        <f t="shared" si="11"/>
        <v>0</v>
      </c>
      <c r="P256" s="36">
        <f>O256</f>
        <v>0</v>
      </c>
      <c r="Q256" s="32"/>
      <c r="R256" s="38"/>
      <c r="S256" s="38"/>
      <c r="T256" s="38"/>
      <c r="U256" s="32"/>
      <c r="V256" s="32"/>
      <c r="W256" s="32"/>
      <c r="X256" s="32"/>
    </row>
    <row r="257" spans="1:24" ht="15.75" customHeight="1" x14ac:dyDescent="0.25">
      <c r="A257" s="13" t="s">
        <v>45</v>
      </c>
      <c r="B257" s="33">
        <v>1</v>
      </c>
      <c r="C257" s="33">
        <v>1</v>
      </c>
      <c r="D257" s="33">
        <v>1</v>
      </c>
      <c r="E257" s="33">
        <v>1</v>
      </c>
      <c r="F257" s="33">
        <v>1</v>
      </c>
      <c r="G257" s="33">
        <v>1</v>
      </c>
      <c r="H257" s="33">
        <v>1</v>
      </c>
      <c r="I257" s="33">
        <v>1</v>
      </c>
      <c r="J257" s="33">
        <v>1</v>
      </c>
      <c r="K257" s="49">
        <v>1</v>
      </c>
      <c r="L257" s="33">
        <v>1</v>
      </c>
      <c r="M257" s="33">
        <v>1</v>
      </c>
      <c r="N257" s="32"/>
      <c r="O257" s="33"/>
      <c r="P257" s="33"/>
      <c r="Q257" s="32"/>
      <c r="R257" s="38"/>
      <c r="S257" s="38"/>
      <c r="T257" s="38"/>
      <c r="U257" s="32"/>
      <c r="V257" s="32"/>
      <c r="W257" s="32"/>
      <c r="X257" s="32"/>
    </row>
    <row r="258" spans="1:24" ht="15.75" customHeight="1" x14ac:dyDescent="0.25">
      <c r="A258" s="16" t="s">
        <v>5</v>
      </c>
      <c r="B258" s="36">
        <v>91579</v>
      </c>
      <c r="C258" s="36">
        <v>70028</v>
      </c>
      <c r="D258" s="36">
        <v>75793.5</v>
      </c>
      <c r="E258" s="36">
        <v>69781.5</v>
      </c>
      <c r="F258" s="36">
        <v>85343</v>
      </c>
      <c r="G258" s="36">
        <v>63848</v>
      </c>
      <c r="H258" s="36">
        <v>84654</v>
      </c>
      <c r="I258" s="36">
        <v>93848.5</v>
      </c>
      <c r="J258" s="36">
        <v>86762</v>
      </c>
      <c r="K258" s="50">
        <v>111691</v>
      </c>
      <c r="L258" s="36">
        <v>118680</v>
      </c>
      <c r="M258" s="36">
        <v>34054.5</v>
      </c>
      <c r="N258" s="32"/>
      <c r="O258" s="36">
        <f>SUM(B258:M258)</f>
        <v>986063</v>
      </c>
      <c r="P258" s="36">
        <f>O258+4211334</f>
        <v>5197397</v>
      </c>
      <c r="Q258" s="38"/>
      <c r="R258" s="38"/>
      <c r="S258" s="38"/>
      <c r="T258" s="38"/>
      <c r="U258" s="32"/>
      <c r="V258" s="32"/>
      <c r="W258" s="32"/>
      <c r="X258" s="32"/>
    </row>
    <row r="259" spans="1:24" ht="15.75" customHeight="1" x14ac:dyDescent="0.25">
      <c r="A259" s="16" t="s">
        <v>6</v>
      </c>
      <c r="B259" s="36">
        <v>42126.340000000004</v>
      </c>
      <c r="C259" s="36">
        <v>33613.440000000002</v>
      </c>
      <c r="D259" s="36">
        <v>36380.879999999997</v>
      </c>
      <c r="E259" s="36">
        <v>33495.119999999995</v>
      </c>
      <c r="F259" s="36">
        <v>40964.639999999999</v>
      </c>
      <c r="G259" s="36">
        <v>30647.040000000001</v>
      </c>
      <c r="H259" s="36">
        <v>40633.919999999998</v>
      </c>
      <c r="I259" s="36">
        <v>45047.28</v>
      </c>
      <c r="J259" s="36">
        <v>41645.760000000002</v>
      </c>
      <c r="K259" s="50">
        <v>53611.68</v>
      </c>
      <c r="L259" s="36">
        <v>56966.399999999994</v>
      </c>
      <c r="M259" s="36">
        <v>16346.16</v>
      </c>
      <c r="N259" s="32"/>
      <c r="O259" s="36">
        <f>SUM(B259:M259)</f>
        <v>471478.66</v>
      </c>
      <c r="P259" s="36">
        <f>O259+1937214</f>
        <v>2408692.66</v>
      </c>
      <c r="Q259" s="38"/>
      <c r="R259" s="38"/>
      <c r="S259" s="38"/>
      <c r="T259" s="38"/>
      <c r="U259" s="32"/>
      <c r="V259" s="32"/>
      <c r="W259" s="32"/>
      <c r="X259" s="32"/>
    </row>
    <row r="260" spans="1:24" ht="15.75" customHeight="1" x14ac:dyDescent="0.25">
      <c r="A260" s="16" t="s">
        <v>7</v>
      </c>
      <c r="B260" s="36">
        <v>1831.58</v>
      </c>
      <c r="C260" s="36">
        <v>1400.56</v>
      </c>
      <c r="D260" s="36">
        <v>1515.87</v>
      </c>
      <c r="E260" s="36">
        <v>1395.6299999999999</v>
      </c>
      <c r="F260" s="36">
        <v>1706.8599999999997</v>
      </c>
      <c r="G260" s="36">
        <v>1276.96</v>
      </c>
      <c r="H260" s="36">
        <v>1693.0800000000002</v>
      </c>
      <c r="I260" s="36">
        <v>1876.97</v>
      </c>
      <c r="J260" s="36">
        <v>1735.2399999999998</v>
      </c>
      <c r="K260" s="50">
        <v>2233.8199999999997</v>
      </c>
      <c r="L260" s="36">
        <v>2373.6</v>
      </c>
      <c r="M260" s="36">
        <v>681.09</v>
      </c>
      <c r="N260" s="32"/>
      <c r="O260" s="36">
        <f>SUM(B260:M260)</f>
        <v>19721.259999999998</v>
      </c>
      <c r="P260" s="36">
        <f>O260+84227</f>
        <v>103948.26</v>
      </c>
      <c r="Q260" s="38"/>
      <c r="R260" s="38"/>
      <c r="S260" s="38"/>
      <c r="T260" s="38"/>
      <c r="U260" s="32"/>
      <c r="V260" s="32"/>
      <c r="W260" s="32"/>
      <c r="X260" s="32"/>
    </row>
    <row r="261" spans="1:24" ht="15.75" customHeight="1" x14ac:dyDescent="0.25">
      <c r="A261" s="21" t="s">
        <v>11</v>
      </c>
      <c r="B261" s="33">
        <v>0</v>
      </c>
      <c r="C261" s="33">
        <v>0</v>
      </c>
      <c r="D261" s="33">
        <v>0</v>
      </c>
      <c r="E261" s="33">
        <v>0</v>
      </c>
      <c r="F261" s="33">
        <v>0</v>
      </c>
      <c r="G261" s="33">
        <v>5</v>
      </c>
      <c r="H261" s="33">
        <v>5</v>
      </c>
      <c r="I261" s="33">
        <v>5</v>
      </c>
      <c r="J261" s="33">
        <v>4.96</v>
      </c>
      <c r="K261" s="49">
        <v>4.92</v>
      </c>
      <c r="L261" s="49">
        <v>4.92</v>
      </c>
      <c r="M261" s="49">
        <v>6.92</v>
      </c>
      <c r="N261" s="32"/>
      <c r="O261" s="36"/>
      <c r="P261" s="36"/>
      <c r="Q261" s="38"/>
      <c r="R261" s="38"/>
      <c r="S261" s="38"/>
      <c r="T261" s="38"/>
      <c r="U261" s="32"/>
      <c r="V261" s="32"/>
      <c r="W261" s="32"/>
      <c r="X261" s="32"/>
    </row>
    <row r="262" spans="1:24" ht="15.75" customHeight="1" x14ac:dyDescent="0.25">
      <c r="A262" s="22" t="s">
        <v>5</v>
      </c>
      <c r="B262" s="36">
        <v>0</v>
      </c>
      <c r="C262" s="36">
        <v>0</v>
      </c>
      <c r="D262" s="36">
        <v>0</v>
      </c>
      <c r="E262" s="36">
        <v>0</v>
      </c>
      <c r="F262" s="36">
        <v>0</v>
      </c>
      <c r="G262" s="36">
        <v>51022.77</v>
      </c>
      <c r="H262" s="36">
        <v>236777.15000000002</v>
      </c>
      <c r="I262" s="36">
        <v>201179.59999999998</v>
      </c>
      <c r="J262" s="36">
        <v>317469.7</v>
      </c>
      <c r="K262" s="50">
        <v>314459.87</v>
      </c>
      <c r="L262" s="36">
        <v>303735.14</v>
      </c>
      <c r="M262" s="36">
        <v>326911.28000000003</v>
      </c>
      <c r="N262" s="32"/>
      <c r="O262" s="36">
        <f>SUM(B262:M262)</f>
        <v>1751555.51</v>
      </c>
      <c r="P262" s="36">
        <f>O262</f>
        <v>1751555.51</v>
      </c>
      <c r="Q262" s="38"/>
      <c r="R262" s="38"/>
      <c r="S262" s="38"/>
      <c r="T262" s="38"/>
      <c r="U262" s="32"/>
      <c r="V262" s="32"/>
      <c r="W262" s="32"/>
      <c r="X262" s="32"/>
    </row>
    <row r="263" spans="1:24" ht="15.75" customHeight="1" x14ac:dyDescent="0.25">
      <c r="A263" s="16" t="s">
        <v>6</v>
      </c>
      <c r="B263" s="36">
        <v>0</v>
      </c>
      <c r="C263" s="36">
        <v>0</v>
      </c>
      <c r="D263" s="36">
        <v>0</v>
      </c>
      <c r="E263" s="36">
        <v>0</v>
      </c>
      <c r="F263" s="36">
        <v>0</v>
      </c>
      <c r="G263" s="36">
        <v>7143.19</v>
      </c>
      <c r="H263" s="36">
        <v>33148.800000000003</v>
      </c>
      <c r="I263" s="36">
        <v>28165.14</v>
      </c>
      <c r="J263" s="36">
        <v>44445.770000000004</v>
      </c>
      <c r="K263" s="50">
        <v>44024.39</v>
      </c>
      <c r="L263" s="36">
        <v>42522.930000000008</v>
      </c>
      <c r="M263" s="36">
        <v>45767.57</v>
      </c>
      <c r="N263" s="32"/>
      <c r="O263" s="36">
        <f>SUM(B263:M263)</f>
        <v>245217.79000000004</v>
      </c>
      <c r="P263" s="36">
        <f>O263</f>
        <v>245217.79000000004</v>
      </c>
      <c r="Q263" s="38"/>
      <c r="R263" s="38"/>
      <c r="S263" s="38"/>
      <c r="T263" s="38"/>
      <c r="U263" s="32"/>
      <c r="V263" s="32"/>
      <c r="W263" s="32"/>
      <c r="X263" s="32"/>
    </row>
    <row r="264" spans="1:24" ht="15.75" customHeight="1" x14ac:dyDescent="0.25">
      <c r="A264" s="22" t="s">
        <v>7</v>
      </c>
      <c r="B264" s="36">
        <v>0</v>
      </c>
      <c r="C264" s="36">
        <v>0</v>
      </c>
      <c r="D264" s="36">
        <v>0</v>
      </c>
      <c r="E264" s="36">
        <v>0</v>
      </c>
      <c r="F264" s="36">
        <v>0</v>
      </c>
      <c r="G264" s="36">
        <v>1020.4599999999998</v>
      </c>
      <c r="H264" s="36">
        <v>4735.5400000000009</v>
      </c>
      <c r="I264" s="36">
        <v>4023.6</v>
      </c>
      <c r="J264" s="36">
        <v>6349.4</v>
      </c>
      <c r="K264" s="50">
        <v>6289.2</v>
      </c>
      <c r="L264" s="36">
        <v>6074.7000000000007</v>
      </c>
      <c r="M264" s="36">
        <v>6538.24</v>
      </c>
      <c r="N264" s="32"/>
      <c r="O264" s="36">
        <f>SUM(B264:M264)</f>
        <v>35031.14</v>
      </c>
      <c r="P264" s="36">
        <f>O264</f>
        <v>35031.14</v>
      </c>
      <c r="Q264" s="38"/>
      <c r="R264" s="38"/>
      <c r="S264" s="38"/>
      <c r="T264" s="38"/>
      <c r="U264" s="32"/>
      <c r="V264" s="32"/>
      <c r="W264" s="32"/>
      <c r="X264" s="32"/>
    </row>
    <row r="265" spans="1:24" ht="15.75" customHeight="1" x14ac:dyDescent="0.25">
      <c r="B265" s="42"/>
      <c r="C265" s="36"/>
      <c r="D265" s="36"/>
      <c r="E265" s="42"/>
      <c r="F265" s="42"/>
      <c r="G265" s="42"/>
      <c r="H265" s="32"/>
      <c r="I265" s="42"/>
      <c r="J265" s="42"/>
      <c r="K265" s="52"/>
      <c r="L265" s="36"/>
      <c r="M265" s="36"/>
      <c r="N265" s="32"/>
      <c r="O265" s="42"/>
      <c r="P265" s="42"/>
      <c r="Q265" s="32"/>
      <c r="R265" s="38"/>
      <c r="S265" s="38"/>
      <c r="T265" s="38"/>
      <c r="U265" s="32"/>
      <c r="V265" s="32"/>
      <c r="W265" s="32"/>
      <c r="X265" s="32"/>
    </row>
    <row r="266" spans="1:24" ht="15.75" customHeight="1" x14ac:dyDescent="0.25">
      <c r="A266" s="11" t="s">
        <v>22</v>
      </c>
      <c r="B266" s="42"/>
      <c r="C266" s="36"/>
      <c r="D266" s="36"/>
      <c r="E266" s="42"/>
      <c r="F266" s="42"/>
      <c r="G266" s="42"/>
      <c r="H266" s="32"/>
      <c r="I266" s="42"/>
      <c r="J266" s="42"/>
      <c r="K266" s="52"/>
      <c r="L266" s="36"/>
      <c r="M266" s="36"/>
      <c r="N266" s="32"/>
      <c r="O266" s="42"/>
      <c r="P266" s="42"/>
      <c r="Q266" s="32"/>
      <c r="R266" s="38"/>
      <c r="S266" s="38"/>
      <c r="T266" s="38"/>
      <c r="U266" s="32"/>
      <c r="V266" s="32"/>
      <c r="W266" s="32"/>
      <c r="X266" s="32"/>
    </row>
    <row r="267" spans="1:24" ht="15.75" customHeight="1" x14ac:dyDescent="0.25">
      <c r="A267" s="13" t="s">
        <v>4</v>
      </c>
      <c r="B267" s="33">
        <v>50</v>
      </c>
      <c r="C267" s="33">
        <v>50</v>
      </c>
      <c r="D267" s="33">
        <v>50</v>
      </c>
      <c r="E267" s="33">
        <v>50</v>
      </c>
      <c r="F267" s="33">
        <v>50</v>
      </c>
      <c r="G267" s="33">
        <v>50</v>
      </c>
      <c r="H267" s="33">
        <v>50</v>
      </c>
      <c r="I267" s="33">
        <v>50</v>
      </c>
      <c r="J267" s="33">
        <v>50</v>
      </c>
      <c r="K267" s="49">
        <v>50</v>
      </c>
      <c r="L267" s="33">
        <v>50</v>
      </c>
      <c r="M267" s="33">
        <v>50</v>
      </c>
      <c r="N267" s="32"/>
      <c r="O267" s="33"/>
      <c r="P267" s="33"/>
      <c r="Q267" s="32"/>
      <c r="R267" s="38"/>
      <c r="S267" s="38"/>
      <c r="T267" s="38"/>
      <c r="U267" s="32"/>
      <c r="V267" s="32"/>
      <c r="W267" s="32"/>
      <c r="X267" s="32"/>
    </row>
    <row r="268" spans="1:24" ht="15.75" customHeight="1" x14ac:dyDescent="0.25">
      <c r="A268" s="16" t="s">
        <v>5</v>
      </c>
      <c r="B268" s="36">
        <v>3778515.57</v>
      </c>
      <c r="C268" s="36">
        <v>2792676.98</v>
      </c>
      <c r="D268" s="36">
        <v>2428132.06</v>
      </c>
      <c r="E268" s="36">
        <v>3386312.1799999997</v>
      </c>
      <c r="F268" s="36">
        <v>2495262.0499999998</v>
      </c>
      <c r="G268" s="36">
        <v>2745040.79</v>
      </c>
      <c r="H268" s="36">
        <v>2530463.33</v>
      </c>
      <c r="I268" s="36">
        <v>2233740.63</v>
      </c>
      <c r="J268" s="36">
        <v>3208832.8299999996</v>
      </c>
      <c r="K268" s="50">
        <v>3353102.0599999996</v>
      </c>
      <c r="L268" s="36">
        <v>2261237.94</v>
      </c>
      <c r="M268" s="36">
        <v>3057517.87</v>
      </c>
      <c r="N268" s="32"/>
      <c r="O268" s="36">
        <f>SUM(B268:M268)</f>
        <v>34270834.289999999</v>
      </c>
      <c r="P268" s="36">
        <f>O268+141927657</f>
        <v>176198491.28999999</v>
      </c>
      <c r="Q268" s="32"/>
      <c r="R268" s="38"/>
      <c r="S268" s="38"/>
      <c r="T268" s="38"/>
      <c r="U268" s="32"/>
      <c r="V268" s="32"/>
      <c r="W268" s="32"/>
      <c r="X268" s="32"/>
    </row>
    <row r="269" spans="1:24" ht="15.75" customHeight="1" x14ac:dyDescent="0.25">
      <c r="A269" s="16" t="s">
        <v>6</v>
      </c>
      <c r="B269" s="36">
        <v>453421.86000000004</v>
      </c>
      <c r="C269" s="36">
        <v>390974.77000000008</v>
      </c>
      <c r="D269" s="36">
        <v>339938.49999999994</v>
      </c>
      <c r="E269" s="36">
        <v>474083.71</v>
      </c>
      <c r="F269" s="36">
        <v>349336.7</v>
      </c>
      <c r="G269" s="36">
        <v>384305.72000000003</v>
      </c>
      <c r="H269" s="36">
        <v>354264.87999999995</v>
      </c>
      <c r="I269" s="36">
        <v>312723.7</v>
      </c>
      <c r="J269" s="36">
        <v>449236.6</v>
      </c>
      <c r="K269" s="50">
        <v>469434.3</v>
      </c>
      <c r="L269" s="36">
        <v>316573.31000000006</v>
      </c>
      <c r="M269" s="36">
        <v>428052.5</v>
      </c>
      <c r="N269" s="32"/>
      <c r="O269" s="36">
        <f>SUM(B269:M269)</f>
        <v>4722346.5500000007</v>
      </c>
      <c r="P269" s="36">
        <f>O269+18313808</f>
        <v>23036154.550000001</v>
      </c>
      <c r="Q269" s="32"/>
      <c r="R269" s="38"/>
      <c r="S269" s="38"/>
      <c r="T269" s="38"/>
      <c r="U269" s="32"/>
      <c r="V269" s="32"/>
      <c r="W269" s="32"/>
      <c r="X269" s="32"/>
    </row>
    <row r="270" spans="1:24" ht="15.75" customHeight="1" x14ac:dyDescent="0.25">
      <c r="A270" s="16" t="s">
        <v>7</v>
      </c>
      <c r="B270" s="36">
        <v>75570.31</v>
      </c>
      <c r="C270" s="36">
        <v>55853.54</v>
      </c>
      <c r="D270" s="36">
        <v>48562.65</v>
      </c>
      <c r="E270" s="36">
        <v>67726.25</v>
      </c>
      <c r="F270" s="36">
        <v>49905.25</v>
      </c>
      <c r="G270" s="36">
        <v>54900.82</v>
      </c>
      <c r="H270" s="36">
        <v>50609.270000000004</v>
      </c>
      <c r="I270" s="36">
        <v>44674.82</v>
      </c>
      <c r="J270" s="36">
        <v>64176.659999999996</v>
      </c>
      <c r="K270" s="50">
        <v>67062.05</v>
      </c>
      <c r="L270" s="36">
        <v>45224.760000000009</v>
      </c>
      <c r="M270" s="36">
        <v>61150.36</v>
      </c>
      <c r="N270" s="32"/>
      <c r="O270" s="36">
        <f>SUM(B270:M270)</f>
        <v>685416.74</v>
      </c>
      <c r="P270" s="36">
        <f>O270+2838554</f>
        <v>3523970.74</v>
      </c>
      <c r="Q270" s="32"/>
      <c r="R270" s="38"/>
      <c r="S270" s="38"/>
      <c r="T270" s="38"/>
      <c r="U270" s="32"/>
      <c r="V270" s="32"/>
      <c r="W270" s="32"/>
      <c r="X270" s="32"/>
    </row>
    <row r="271" spans="1:24" ht="15.75" customHeight="1" x14ac:dyDescent="0.25">
      <c r="A271" s="13" t="s">
        <v>8</v>
      </c>
      <c r="B271" s="33">
        <v>0</v>
      </c>
      <c r="C271" s="33">
        <v>0</v>
      </c>
      <c r="D271" s="33">
        <v>0</v>
      </c>
      <c r="E271" s="33">
        <v>0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49" t="s">
        <v>43</v>
      </c>
      <c r="L271" s="49" t="s">
        <v>43</v>
      </c>
      <c r="M271" s="33">
        <v>0</v>
      </c>
      <c r="N271" s="32"/>
      <c r="O271" s="33"/>
      <c r="P271" s="33"/>
      <c r="Q271" s="32"/>
      <c r="R271" s="38"/>
      <c r="S271" s="38"/>
      <c r="T271" s="38"/>
      <c r="U271" s="32"/>
      <c r="V271" s="32"/>
      <c r="W271" s="32"/>
      <c r="X271" s="32"/>
    </row>
    <row r="272" spans="1:24" ht="15.75" customHeight="1" x14ac:dyDescent="0.25">
      <c r="A272" s="16" t="s">
        <v>5</v>
      </c>
      <c r="B272" s="36">
        <v>0</v>
      </c>
      <c r="C272" s="36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50">
        <v>0</v>
      </c>
      <c r="L272" s="36">
        <v>0</v>
      </c>
      <c r="M272" s="36">
        <v>0</v>
      </c>
      <c r="N272" s="32"/>
      <c r="O272" s="36">
        <f>SUM(B272:M272)</f>
        <v>0</v>
      </c>
      <c r="P272" s="36">
        <f>O272</f>
        <v>0</v>
      </c>
      <c r="Q272" s="32"/>
      <c r="R272" s="38"/>
      <c r="S272" s="38"/>
      <c r="T272" s="38"/>
      <c r="U272" s="32"/>
      <c r="V272" s="32"/>
      <c r="W272" s="32"/>
      <c r="X272" s="32"/>
    </row>
    <row r="273" spans="1:24" ht="15.75" customHeight="1" x14ac:dyDescent="0.25">
      <c r="A273" s="16" t="s">
        <v>6</v>
      </c>
      <c r="B273" s="36">
        <v>0</v>
      </c>
      <c r="C273" s="36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50">
        <v>0</v>
      </c>
      <c r="L273" s="36">
        <v>0</v>
      </c>
      <c r="M273" s="36">
        <v>0</v>
      </c>
      <c r="N273" s="32"/>
      <c r="O273" s="36">
        <f>SUM(B273:M273)</f>
        <v>0</v>
      </c>
      <c r="P273" s="36">
        <f>O273</f>
        <v>0</v>
      </c>
      <c r="Q273" s="32"/>
      <c r="R273" s="38"/>
      <c r="S273" s="38"/>
      <c r="T273" s="38"/>
      <c r="U273" s="32"/>
      <c r="V273" s="32"/>
      <c r="W273" s="32"/>
      <c r="X273" s="32"/>
    </row>
    <row r="274" spans="1:24" ht="15.75" customHeight="1" x14ac:dyDescent="0.25">
      <c r="A274" s="16" t="s">
        <v>7</v>
      </c>
      <c r="B274" s="36">
        <v>0</v>
      </c>
      <c r="C274" s="36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50">
        <v>0</v>
      </c>
      <c r="L274" s="36">
        <v>0</v>
      </c>
      <c r="M274" s="36">
        <v>0</v>
      </c>
      <c r="N274" s="32"/>
      <c r="O274" s="36">
        <f>SUM(B274:M274)</f>
        <v>0</v>
      </c>
      <c r="P274" s="36">
        <f>O274</f>
        <v>0</v>
      </c>
      <c r="Q274" s="32"/>
      <c r="R274" s="38"/>
      <c r="S274" s="38"/>
      <c r="T274" s="38"/>
      <c r="U274" s="32"/>
      <c r="V274" s="32"/>
      <c r="W274" s="32"/>
      <c r="X274" s="32"/>
    </row>
    <row r="275" spans="1:24" ht="15.75" customHeight="1" x14ac:dyDescent="0.25">
      <c r="A275" s="13" t="s">
        <v>9</v>
      </c>
      <c r="B275" s="33">
        <v>50</v>
      </c>
      <c r="C275" s="33">
        <v>50</v>
      </c>
      <c r="D275" s="33">
        <v>50</v>
      </c>
      <c r="E275" s="33">
        <v>50</v>
      </c>
      <c r="F275" s="33">
        <v>50</v>
      </c>
      <c r="G275" s="33">
        <v>50</v>
      </c>
      <c r="H275" s="33">
        <v>50</v>
      </c>
      <c r="I275" s="33">
        <v>50</v>
      </c>
      <c r="J275" s="33">
        <v>50</v>
      </c>
      <c r="K275" s="49">
        <v>50</v>
      </c>
      <c r="L275" s="33">
        <v>50</v>
      </c>
      <c r="M275" s="33">
        <v>50</v>
      </c>
      <c r="N275" s="32"/>
      <c r="O275" s="33"/>
      <c r="P275" s="33"/>
      <c r="Q275" s="32"/>
      <c r="R275" s="38"/>
      <c r="S275" s="38"/>
      <c r="T275" s="38"/>
      <c r="U275" s="32"/>
      <c r="V275" s="32"/>
      <c r="W275" s="32"/>
      <c r="X275" s="32"/>
    </row>
    <row r="276" spans="1:24" ht="15.75" customHeight="1" x14ac:dyDescent="0.25">
      <c r="A276" s="16" t="s">
        <v>5</v>
      </c>
      <c r="B276" s="36">
        <v>3778515.57</v>
      </c>
      <c r="C276" s="36">
        <v>2792676.98</v>
      </c>
      <c r="D276" s="36">
        <v>2428132.06</v>
      </c>
      <c r="E276" s="36">
        <v>3386312.1799999997</v>
      </c>
      <c r="F276" s="36">
        <v>2495262.0499999998</v>
      </c>
      <c r="G276" s="36">
        <v>2745040.79</v>
      </c>
      <c r="H276" s="36">
        <v>2530463.33</v>
      </c>
      <c r="I276" s="36">
        <v>2233740.63</v>
      </c>
      <c r="J276" s="36">
        <v>3208832.8299999996</v>
      </c>
      <c r="K276" s="50">
        <v>3353102.0599999996</v>
      </c>
      <c r="L276" s="36">
        <v>2261237.94</v>
      </c>
      <c r="M276" s="36">
        <v>3057517.87</v>
      </c>
      <c r="N276" s="32"/>
      <c r="O276" s="36">
        <f t="shared" ref="O276:O286" si="12">SUM(B276:M276)</f>
        <v>34270834.289999999</v>
      </c>
      <c r="P276" s="36">
        <f>O276+141927657</f>
        <v>176198491.28999999</v>
      </c>
      <c r="Q276" s="32"/>
      <c r="R276" s="38"/>
      <c r="S276" s="38"/>
      <c r="T276" s="38"/>
      <c r="U276" s="32"/>
      <c r="V276" s="32"/>
      <c r="W276" s="32"/>
      <c r="X276" s="32"/>
    </row>
    <row r="277" spans="1:24" ht="15.75" customHeight="1" x14ac:dyDescent="0.25">
      <c r="A277" s="16" t="s">
        <v>6</v>
      </c>
      <c r="B277" s="36">
        <v>453421.86000000004</v>
      </c>
      <c r="C277" s="36">
        <v>390974.77000000008</v>
      </c>
      <c r="D277" s="36">
        <v>339938.49999999994</v>
      </c>
      <c r="E277" s="36">
        <v>474083.71</v>
      </c>
      <c r="F277" s="36">
        <v>349336.7</v>
      </c>
      <c r="G277" s="36">
        <v>384305.72000000003</v>
      </c>
      <c r="H277" s="36">
        <v>354264.87999999995</v>
      </c>
      <c r="I277" s="36">
        <v>312723.7</v>
      </c>
      <c r="J277" s="36">
        <v>449236.6</v>
      </c>
      <c r="K277" s="50">
        <v>469434.3</v>
      </c>
      <c r="L277" s="36">
        <v>316573.31000000006</v>
      </c>
      <c r="M277" s="36">
        <v>428052.5</v>
      </c>
      <c r="N277" s="32"/>
      <c r="O277" s="36">
        <f t="shared" si="12"/>
        <v>4722346.5500000007</v>
      </c>
      <c r="P277" s="36">
        <f>O277+18313808</f>
        <v>23036154.550000001</v>
      </c>
      <c r="Q277" s="32"/>
      <c r="R277" s="38"/>
      <c r="S277" s="38"/>
      <c r="T277" s="38"/>
      <c r="U277" s="32"/>
      <c r="V277" s="32"/>
      <c r="W277" s="32"/>
      <c r="X277" s="32"/>
    </row>
    <row r="278" spans="1:24" ht="15.75" customHeight="1" x14ac:dyDescent="0.25">
      <c r="A278" s="16" t="s">
        <v>7</v>
      </c>
      <c r="B278" s="36">
        <v>75570.31</v>
      </c>
      <c r="C278" s="36">
        <v>55853.54</v>
      </c>
      <c r="D278" s="36">
        <v>48562.65</v>
      </c>
      <c r="E278" s="36">
        <v>67726.25</v>
      </c>
      <c r="F278" s="36">
        <v>49905.25</v>
      </c>
      <c r="G278" s="36">
        <v>54900.82</v>
      </c>
      <c r="H278" s="36">
        <v>50609.270000000004</v>
      </c>
      <c r="I278" s="36">
        <v>44674.82</v>
      </c>
      <c r="J278" s="36">
        <v>64176.659999999996</v>
      </c>
      <c r="K278" s="50">
        <v>67062.05</v>
      </c>
      <c r="L278" s="36">
        <v>45224.760000000009</v>
      </c>
      <c r="M278" s="36">
        <v>61150.36</v>
      </c>
      <c r="N278" s="32"/>
      <c r="O278" s="36">
        <f t="shared" si="12"/>
        <v>685416.74</v>
      </c>
      <c r="P278" s="36">
        <f>O278+2838554</f>
        <v>3523970.74</v>
      </c>
      <c r="Q278" s="38"/>
      <c r="R278" s="38"/>
      <c r="S278" s="38"/>
      <c r="T278" s="38"/>
      <c r="U278" s="32"/>
      <c r="V278" s="32"/>
      <c r="W278" s="32"/>
      <c r="X278" s="32"/>
    </row>
    <row r="279" spans="1:24" ht="15.75" customHeight="1" x14ac:dyDescent="0.25">
      <c r="A279" s="13" t="s">
        <v>10</v>
      </c>
      <c r="B279" s="33">
        <v>0</v>
      </c>
      <c r="C279" s="33">
        <v>0</v>
      </c>
      <c r="D279" s="33">
        <v>0</v>
      </c>
      <c r="E279" s="33">
        <v>0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49" t="s">
        <v>43</v>
      </c>
      <c r="L279" s="49" t="s">
        <v>43</v>
      </c>
      <c r="M279" s="33">
        <v>0</v>
      </c>
      <c r="N279" s="32"/>
      <c r="O279" s="33"/>
      <c r="P279" s="33"/>
      <c r="Q279" s="32"/>
      <c r="R279" s="38"/>
      <c r="S279" s="38"/>
      <c r="T279" s="38"/>
      <c r="U279" s="32"/>
      <c r="V279" s="32"/>
      <c r="W279" s="32"/>
      <c r="X279" s="32"/>
    </row>
    <row r="280" spans="1:24" ht="15.75" customHeight="1" x14ac:dyDescent="0.25">
      <c r="A280" s="16" t="s">
        <v>5</v>
      </c>
      <c r="B280" s="36">
        <v>0</v>
      </c>
      <c r="C280" s="36">
        <v>0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50">
        <v>0</v>
      </c>
      <c r="L280" s="36">
        <v>0</v>
      </c>
      <c r="M280" s="36">
        <v>0</v>
      </c>
      <c r="N280" s="32"/>
      <c r="O280" s="36">
        <f t="shared" si="12"/>
        <v>0</v>
      </c>
      <c r="P280" s="36">
        <f>O280</f>
        <v>0</v>
      </c>
      <c r="Q280" s="32"/>
      <c r="R280" s="38"/>
      <c r="S280" s="38"/>
      <c r="T280" s="38"/>
      <c r="U280" s="32"/>
      <c r="V280" s="32"/>
      <c r="W280" s="32"/>
      <c r="X280" s="32"/>
    </row>
    <row r="281" spans="1:24" ht="15.75" customHeight="1" x14ac:dyDescent="0.25">
      <c r="A281" s="16" t="s">
        <v>6</v>
      </c>
      <c r="B281" s="36">
        <v>0</v>
      </c>
      <c r="C281" s="36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50">
        <v>0</v>
      </c>
      <c r="L281" s="36">
        <v>0</v>
      </c>
      <c r="M281" s="36">
        <v>0</v>
      </c>
      <c r="N281" s="32"/>
      <c r="O281" s="36">
        <f t="shared" si="12"/>
        <v>0</v>
      </c>
      <c r="P281" s="36">
        <f>O281</f>
        <v>0</v>
      </c>
      <c r="Q281" s="32"/>
      <c r="R281" s="38"/>
      <c r="S281" s="38"/>
      <c r="T281" s="38"/>
      <c r="U281" s="32"/>
      <c r="V281" s="32"/>
      <c r="W281" s="32"/>
      <c r="X281" s="32"/>
    </row>
    <row r="282" spans="1:24" ht="15.75" customHeight="1" x14ac:dyDescent="0.25">
      <c r="A282" s="16" t="s">
        <v>7</v>
      </c>
      <c r="B282" s="36">
        <v>0</v>
      </c>
      <c r="C282" s="36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50">
        <v>0</v>
      </c>
      <c r="L282" s="36">
        <v>0</v>
      </c>
      <c r="M282" s="36">
        <v>0</v>
      </c>
      <c r="N282" s="32"/>
      <c r="O282" s="36">
        <f t="shared" si="12"/>
        <v>0</v>
      </c>
      <c r="P282" s="36">
        <f>O282</f>
        <v>0</v>
      </c>
      <c r="Q282" s="32"/>
      <c r="R282" s="38"/>
      <c r="S282" s="38"/>
      <c r="T282" s="38"/>
      <c r="U282" s="32"/>
      <c r="V282" s="32"/>
      <c r="W282" s="32"/>
      <c r="X282" s="32"/>
    </row>
    <row r="283" spans="1:24" ht="15.75" customHeight="1" x14ac:dyDescent="0.25">
      <c r="A283" s="13" t="s">
        <v>45</v>
      </c>
      <c r="B283" s="33">
        <v>0</v>
      </c>
      <c r="C283" s="33">
        <v>0</v>
      </c>
      <c r="D283" s="33">
        <v>0</v>
      </c>
      <c r="E283" s="33">
        <v>0</v>
      </c>
      <c r="F283" s="33">
        <v>0</v>
      </c>
      <c r="G283" s="33">
        <v>0</v>
      </c>
      <c r="H283" s="33">
        <v>0</v>
      </c>
      <c r="I283" s="33">
        <v>0</v>
      </c>
      <c r="J283" s="33">
        <v>0</v>
      </c>
      <c r="K283" s="49" t="s">
        <v>43</v>
      </c>
      <c r="L283" s="49" t="s">
        <v>43</v>
      </c>
      <c r="M283" s="33">
        <v>0</v>
      </c>
      <c r="N283" s="32"/>
      <c r="O283" s="33"/>
      <c r="P283" s="33"/>
      <c r="Q283" s="32"/>
      <c r="R283" s="38"/>
      <c r="S283" s="38"/>
      <c r="T283" s="38"/>
      <c r="U283" s="32"/>
      <c r="V283" s="32"/>
      <c r="W283" s="32"/>
      <c r="X283" s="32"/>
    </row>
    <row r="284" spans="1:24" ht="15.75" customHeight="1" x14ac:dyDescent="0.25">
      <c r="A284" s="16" t="s">
        <v>5</v>
      </c>
      <c r="B284" s="36">
        <v>0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50">
        <v>0</v>
      </c>
      <c r="L284" s="36">
        <v>0</v>
      </c>
      <c r="M284" s="36">
        <v>0</v>
      </c>
      <c r="N284" s="32"/>
      <c r="O284" s="36">
        <f t="shared" si="12"/>
        <v>0</v>
      </c>
      <c r="P284" s="36">
        <f>O284</f>
        <v>0</v>
      </c>
      <c r="Q284" s="32"/>
      <c r="R284" s="38"/>
      <c r="S284" s="38"/>
      <c r="T284" s="38"/>
      <c r="U284" s="32"/>
      <c r="V284" s="32"/>
      <c r="W284" s="32"/>
      <c r="X284" s="32"/>
    </row>
    <row r="285" spans="1:24" ht="15.75" customHeight="1" x14ac:dyDescent="0.25">
      <c r="A285" s="16" t="s">
        <v>6</v>
      </c>
      <c r="B285" s="36">
        <v>0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50">
        <v>0</v>
      </c>
      <c r="L285" s="36">
        <v>0</v>
      </c>
      <c r="M285" s="36">
        <v>0</v>
      </c>
      <c r="N285" s="32"/>
      <c r="O285" s="36">
        <f t="shared" si="12"/>
        <v>0</v>
      </c>
      <c r="P285" s="36">
        <f>O285</f>
        <v>0</v>
      </c>
      <c r="Q285" s="32"/>
      <c r="R285" s="38"/>
      <c r="S285" s="38"/>
      <c r="T285" s="38"/>
      <c r="U285" s="32"/>
      <c r="V285" s="32"/>
      <c r="W285" s="32"/>
      <c r="X285" s="32"/>
    </row>
    <row r="286" spans="1:24" ht="15.75" customHeight="1" x14ac:dyDescent="0.25">
      <c r="A286" s="16" t="s">
        <v>7</v>
      </c>
      <c r="B286" s="36">
        <v>0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50">
        <v>0</v>
      </c>
      <c r="L286" s="36">
        <v>0</v>
      </c>
      <c r="M286" s="36">
        <v>0</v>
      </c>
      <c r="N286" s="32"/>
      <c r="O286" s="36">
        <f t="shared" si="12"/>
        <v>0</v>
      </c>
      <c r="P286" s="36">
        <f>O286</f>
        <v>0</v>
      </c>
      <c r="Q286" s="32"/>
      <c r="R286" s="38"/>
      <c r="S286" s="38"/>
      <c r="T286" s="38"/>
      <c r="U286" s="32"/>
      <c r="V286" s="32"/>
      <c r="W286" s="32"/>
      <c r="X286" s="32"/>
    </row>
    <row r="287" spans="1:24" ht="15.75" customHeight="1" x14ac:dyDescent="0.25">
      <c r="A287" s="21" t="s">
        <v>11</v>
      </c>
      <c r="B287" s="33">
        <v>0</v>
      </c>
      <c r="C287" s="33">
        <v>0</v>
      </c>
      <c r="D287" s="33">
        <v>0</v>
      </c>
      <c r="E287" s="33">
        <v>0</v>
      </c>
      <c r="F287" s="33">
        <v>0</v>
      </c>
      <c r="G287" s="33">
        <v>0</v>
      </c>
      <c r="H287" s="33">
        <v>0</v>
      </c>
      <c r="I287" s="33">
        <v>0</v>
      </c>
      <c r="J287" s="33">
        <v>0</v>
      </c>
      <c r="K287" s="33">
        <v>0</v>
      </c>
      <c r="L287" s="33">
        <v>0</v>
      </c>
      <c r="M287" s="33">
        <v>0</v>
      </c>
      <c r="N287" s="32"/>
      <c r="O287" s="36"/>
      <c r="P287" s="36"/>
      <c r="Q287" s="32"/>
      <c r="R287" s="38"/>
      <c r="S287" s="38"/>
      <c r="T287" s="38"/>
      <c r="U287" s="32"/>
      <c r="V287" s="32"/>
      <c r="W287" s="32"/>
      <c r="X287" s="32"/>
    </row>
    <row r="288" spans="1:24" ht="15.75" customHeight="1" x14ac:dyDescent="0.25">
      <c r="A288" s="22" t="s">
        <v>5</v>
      </c>
      <c r="B288" s="36">
        <v>0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36">
        <v>0</v>
      </c>
      <c r="N288" s="32"/>
      <c r="O288" s="36">
        <f t="shared" ref="O288:O290" si="13">SUM(B288:M288)</f>
        <v>0</v>
      </c>
      <c r="P288" s="36">
        <f>O288</f>
        <v>0</v>
      </c>
      <c r="Q288" s="32"/>
      <c r="R288" s="38"/>
      <c r="S288" s="38"/>
      <c r="T288" s="38"/>
      <c r="U288" s="32"/>
      <c r="V288" s="32"/>
      <c r="W288" s="32"/>
      <c r="X288" s="32"/>
    </row>
    <row r="289" spans="1:24" ht="15.75" customHeight="1" x14ac:dyDescent="0.25">
      <c r="A289" s="16" t="s">
        <v>6</v>
      </c>
      <c r="B289" s="36">
        <v>0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2"/>
      <c r="O289" s="36">
        <f t="shared" si="13"/>
        <v>0</v>
      </c>
      <c r="P289" s="36">
        <f>O289</f>
        <v>0</v>
      </c>
      <c r="Q289" s="32"/>
      <c r="R289" s="38"/>
      <c r="S289" s="38"/>
      <c r="T289" s="38"/>
      <c r="U289" s="32"/>
      <c r="V289" s="32"/>
      <c r="W289" s="32"/>
      <c r="X289" s="32"/>
    </row>
    <row r="290" spans="1:24" ht="15.75" customHeight="1" x14ac:dyDescent="0.25">
      <c r="A290" s="22" t="s">
        <v>7</v>
      </c>
      <c r="B290" s="36">
        <v>0</v>
      </c>
      <c r="C290" s="36">
        <v>0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6">
        <v>0</v>
      </c>
      <c r="M290" s="36">
        <v>0</v>
      </c>
      <c r="N290" s="32"/>
      <c r="O290" s="36">
        <f t="shared" si="13"/>
        <v>0</v>
      </c>
      <c r="P290" s="36">
        <f>O290</f>
        <v>0</v>
      </c>
      <c r="Q290" s="32"/>
      <c r="R290" s="38"/>
      <c r="S290" s="38"/>
      <c r="T290" s="38"/>
      <c r="U290" s="32"/>
      <c r="V290" s="32"/>
      <c r="W290" s="32"/>
      <c r="X290" s="32"/>
    </row>
    <row r="291" spans="1:24" ht="15.75" customHeight="1" x14ac:dyDescent="0.25">
      <c r="A291" s="16"/>
      <c r="B291" s="42"/>
      <c r="C291" s="45"/>
      <c r="D291" s="45"/>
      <c r="E291" s="45"/>
      <c r="F291" s="42"/>
      <c r="G291" s="42"/>
      <c r="H291" s="32"/>
      <c r="I291" s="42"/>
      <c r="J291" s="42"/>
      <c r="K291" s="52"/>
      <c r="L291" s="36"/>
      <c r="M291" s="36"/>
      <c r="N291" s="32"/>
      <c r="O291" s="42"/>
      <c r="P291" s="42"/>
      <c r="Q291" s="32"/>
      <c r="R291" s="38"/>
      <c r="S291" s="38"/>
      <c r="T291" s="38"/>
      <c r="U291" s="32"/>
      <c r="V291" s="32"/>
      <c r="W291" s="32"/>
      <c r="X291" s="32"/>
    </row>
    <row r="292" spans="1:24" ht="15.75" customHeight="1" x14ac:dyDescent="0.25">
      <c r="A292" s="11" t="s">
        <v>23</v>
      </c>
      <c r="B292" s="42"/>
      <c r="C292" s="45"/>
      <c r="D292" s="45"/>
      <c r="E292" s="45"/>
      <c r="F292" s="42"/>
      <c r="G292" s="42"/>
      <c r="H292" s="32"/>
      <c r="I292" s="42"/>
      <c r="J292" s="42"/>
      <c r="K292" s="52"/>
      <c r="L292" s="36"/>
      <c r="M292" s="36"/>
      <c r="N292" s="32"/>
      <c r="O292" s="42"/>
      <c r="P292" s="42"/>
      <c r="Q292" s="32"/>
      <c r="R292" s="38"/>
      <c r="S292" s="38"/>
      <c r="T292" s="38"/>
      <c r="U292" s="32"/>
      <c r="V292" s="32"/>
      <c r="W292" s="32"/>
      <c r="X292" s="32"/>
    </row>
    <row r="293" spans="1:24" ht="15.75" customHeight="1" x14ac:dyDescent="0.25">
      <c r="A293" s="13" t="s">
        <v>4</v>
      </c>
      <c r="B293" s="33">
        <v>29</v>
      </c>
      <c r="C293" s="33">
        <v>29</v>
      </c>
      <c r="D293" s="33">
        <v>29</v>
      </c>
      <c r="E293" s="33">
        <v>29</v>
      </c>
      <c r="F293" s="33">
        <v>27</v>
      </c>
      <c r="G293" s="33">
        <v>27</v>
      </c>
      <c r="H293" s="33">
        <v>27</v>
      </c>
      <c r="I293" s="33">
        <v>27</v>
      </c>
      <c r="J293" s="33">
        <v>27</v>
      </c>
      <c r="K293" s="49">
        <v>27</v>
      </c>
      <c r="L293" s="33">
        <v>27</v>
      </c>
      <c r="M293" s="33">
        <v>27</v>
      </c>
      <c r="N293" s="32"/>
      <c r="O293" s="33"/>
      <c r="P293" s="33"/>
      <c r="Q293" s="32"/>
      <c r="R293" s="38"/>
      <c r="S293" s="38"/>
      <c r="T293" s="38"/>
      <c r="U293" s="32"/>
      <c r="V293" s="32"/>
      <c r="W293" s="32"/>
      <c r="X293" s="32"/>
    </row>
    <row r="294" spans="1:24" ht="15.75" customHeight="1" x14ac:dyDescent="0.25">
      <c r="A294" s="16" t="s">
        <v>5</v>
      </c>
      <c r="B294" s="36">
        <v>389379.16000000003</v>
      </c>
      <c r="C294" s="36">
        <v>352377.87999999995</v>
      </c>
      <c r="D294" s="36">
        <v>317268.5</v>
      </c>
      <c r="E294" s="36">
        <v>414603.48</v>
      </c>
      <c r="F294" s="36">
        <v>319013.53000000003</v>
      </c>
      <c r="G294" s="36">
        <v>251153.54</v>
      </c>
      <c r="H294" s="36">
        <v>374079</v>
      </c>
      <c r="I294" s="36">
        <v>302076.19</v>
      </c>
      <c r="J294" s="36">
        <v>424608</v>
      </c>
      <c r="K294" s="50">
        <v>275233.88</v>
      </c>
      <c r="L294" s="36">
        <v>385802.14</v>
      </c>
      <c r="M294" s="36">
        <v>295672.81</v>
      </c>
      <c r="N294" s="32"/>
      <c r="O294" s="36">
        <f>SUM(B294:M294)</f>
        <v>4101268.11</v>
      </c>
      <c r="P294" s="36">
        <f>O294+15386062</f>
        <v>19487330.109999999</v>
      </c>
      <c r="Q294" s="32"/>
      <c r="R294" s="38"/>
      <c r="S294" s="38"/>
      <c r="T294" s="38"/>
      <c r="U294" s="32"/>
      <c r="V294" s="32"/>
      <c r="W294" s="32"/>
      <c r="X294" s="32"/>
    </row>
    <row r="295" spans="1:24" ht="15.75" customHeight="1" x14ac:dyDescent="0.25">
      <c r="A295" s="16" t="s">
        <v>6</v>
      </c>
      <c r="B295" s="36">
        <v>46725.500000000007</v>
      </c>
      <c r="C295" s="36">
        <v>49332.9</v>
      </c>
      <c r="D295" s="36">
        <v>44417.59</v>
      </c>
      <c r="E295" s="36">
        <v>58044.49</v>
      </c>
      <c r="F295" s="36">
        <v>44661.89</v>
      </c>
      <c r="G295" s="36">
        <v>35161.5</v>
      </c>
      <c r="H295" s="36">
        <v>52371.06</v>
      </c>
      <c r="I295" s="36">
        <v>42290.659999999996</v>
      </c>
      <c r="J295" s="36">
        <v>59445.119999999995</v>
      </c>
      <c r="K295" s="50">
        <v>38532.74</v>
      </c>
      <c r="L295" s="36">
        <v>54012.299999999996</v>
      </c>
      <c r="M295" s="36">
        <v>41394.19</v>
      </c>
      <c r="N295" s="32"/>
      <c r="O295" s="36">
        <f>SUM(B295:M295)</f>
        <v>566389.93999999994</v>
      </c>
      <c r="P295" s="36">
        <f>O295+2051108</f>
        <v>2617497.94</v>
      </c>
      <c r="Q295" s="32"/>
      <c r="R295" s="38"/>
      <c r="S295" s="38"/>
      <c r="T295" s="38"/>
      <c r="U295" s="32"/>
      <c r="V295" s="32"/>
      <c r="W295" s="32"/>
      <c r="X295" s="32"/>
    </row>
    <row r="296" spans="1:24" ht="15.75" customHeight="1" x14ac:dyDescent="0.25">
      <c r="A296" s="16" t="s">
        <v>7</v>
      </c>
      <c r="B296" s="36">
        <v>7787.59</v>
      </c>
      <c r="C296" s="36">
        <v>7047.55</v>
      </c>
      <c r="D296" s="36">
        <v>6345.37</v>
      </c>
      <c r="E296" s="36">
        <v>8292.07</v>
      </c>
      <c r="F296" s="36">
        <v>6380.2699999999995</v>
      </c>
      <c r="G296" s="36">
        <v>5023.08</v>
      </c>
      <c r="H296" s="36">
        <v>7481.58</v>
      </c>
      <c r="I296" s="36">
        <v>6041.53</v>
      </c>
      <c r="J296" s="36">
        <v>8492.16</v>
      </c>
      <c r="K296" s="50">
        <v>5504.68</v>
      </c>
      <c r="L296" s="36">
        <v>7716.04</v>
      </c>
      <c r="M296" s="36">
        <v>5913.4599999999991</v>
      </c>
      <c r="N296" s="32"/>
      <c r="O296" s="36">
        <f>SUM(B296:M296)</f>
        <v>82025.38</v>
      </c>
      <c r="P296" s="36">
        <f>O296+307722</f>
        <v>389747.38</v>
      </c>
      <c r="Q296" s="32"/>
      <c r="R296" s="38"/>
      <c r="S296" s="38"/>
      <c r="T296" s="38"/>
      <c r="U296" s="32"/>
      <c r="V296" s="32"/>
      <c r="W296" s="32"/>
      <c r="X296" s="32"/>
    </row>
    <row r="297" spans="1:24" ht="15.75" customHeight="1" x14ac:dyDescent="0.25">
      <c r="A297" s="13" t="s">
        <v>8</v>
      </c>
      <c r="B297" s="33">
        <v>0</v>
      </c>
      <c r="C297" s="33">
        <v>0</v>
      </c>
      <c r="D297" s="33">
        <v>0</v>
      </c>
      <c r="E297" s="33">
        <v>0</v>
      </c>
      <c r="F297" s="33">
        <v>0</v>
      </c>
      <c r="G297" s="33">
        <v>0</v>
      </c>
      <c r="H297" s="33">
        <v>0</v>
      </c>
      <c r="I297" s="33">
        <v>0</v>
      </c>
      <c r="J297" s="33">
        <v>0</v>
      </c>
      <c r="K297" s="49" t="s">
        <v>43</v>
      </c>
      <c r="L297" s="49" t="s">
        <v>43</v>
      </c>
      <c r="M297" s="33">
        <v>0</v>
      </c>
      <c r="N297" s="32"/>
      <c r="O297" s="33"/>
      <c r="P297" s="33"/>
      <c r="Q297" s="32"/>
      <c r="R297" s="38"/>
      <c r="S297" s="38"/>
      <c r="T297" s="38"/>
      <c r="U297" s="32"/>
      <c r="V297" s="32"/>
      <c r="W297" s="32"/>
      <c r="X297" s="32"/>
    </row>
    <row r="298" spans="1:24" ht="15.75" customHeight="1" x14ac:dyDescent="0.25">
      <c r="A298" s="16" t="s">
        <v>5</v>
      </c>
      <c r="B298" s="36">
        <v>0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50">
        <v>0</v>
      </c>
      <c r="L298" s="36">
        <v>0</v>
      </c>
      <c r="M298" s="36">
        <v>0</v>
      </c>
      <c r="N298" s="32"/>
      <c r="O298" s="36">
        <f>SUM(B298:M298)</f>
        <v>0</v>
      </c>
      <c r="P298" s="36">
        <f>O298</f>
        <v>0</v>
      </c>
      <c r="Q298" s="32"/>
      <c r="R298" s="38"/>
      <c r="S298" s="38"/>
      <c r="T298" s="38"/>
      <c r="U298" s="32"/>
      <c r="V298" s="32"/>
      <c r="W298" s="32"/>
      <c r="X298" s="32"/>
    </row>
    <row r="299" spans="1:24" ht="15.75" customHeight="1" x14ac:dyDescent="0.25">
      <c r="A299" s="16" t="s">
        <v>6</v>
      </c>
      <c r="B299" s="36">
        <v>0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50">
        <v>0</v>
      </c>
      <c r="L299" s="36">
        <v>0</v>
      </c>
      <c r="M299" s="36">
        <v>0</v>
      </c>
      <c r="N299" s="32"/>
      <c r="O299" s="36">
        <f>SUM(B299:M299)</f>
        <v>0</v>
      </c>
      <c r="P299" s="36">
        <f>O299</f>
        <v>0</v>
      </c>
      <c r="Q299" s="32"/>
      <c r="R299" s="38"/>
      <c r="S299" s="38"/>
      <c r="T299" s="38"/>
      <c r="U299" s="32"/>
      <c r="V299" s="32"/>
      <c r="W299" s="32"/>
      <c r="X299" s="32"/>
    </row>
    <row r="300" spans="1:24" ht="15.75" customHeight="1" x14ac:dyDescent="0.25">
      <c r="A300" s="16" t="s">
        <v>7</v>
      </c>
      <c r="B300" s="36">
        <v>0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50">
        <v>0</v>
      </c>
      <c r="L300" s="36">
        <v>0</v>
      </c>
      <c r="M300" s="36">
        <v>0</v>
      </c>
      <c r="N300" s="32"/>
      <c r="O300" s="36">
        <f>SUM(B300:M300)</f>
        <v>0</v>
      </c>
      <c r="P300" s="36">
        <f>O300</f>
        <v>0</v>
      </c>
      <c r="Q300" s="32"/>
      <c r="R300" s="38"/>
      <c r="S300" s="38"/>
      <c r="T300" s="38"/>
      <c r="U300" s="32"/>
      <c r="V300" s="32"/>
      <c r="W300" s="32"/>
      <c r="X300" s="32"/>
    </row>
    <row r="301" spans="1:24" ht="15.75" customHeight="1" x14ac:dyDescent="0.25">
      <c r="A301" s="13" t="s">
        <v>9</v>
      </c>
      <c r="B301" s="33">
        <v>29</v>
      </c>
      <c r="C301" s="33">
        <v>29</v>
      </c>
      <c r="D301" s="33">
        <v>29</v>
      </c>
      <c r="E301" s="33">
        <v>29</v>
      </c>
      <c r="F301" s="33">
        <v>27</v>
      </c>
      <c r="G301" s="33">
        <v>27</v>
      </c>
      <c r="H301" s="33">
        <v>27</v>
      </c>
      <c r="I301" s="33">
        <v>27</v>
      </c>
      <c r="J301" s="33">
        <v>27</v>
      </c>
      <c r="K301" s="49">
        <v>27</v>
      </c>
      <c r="L301" s="33">
        <v>27</v>
      </c>
      <c r="M301" s="33">
        <v>27</v>
      </c>
      <c r="N301" s="32"/>
      <c r="O301" s="33"/>
      <c r="P301" s="33"/>
      <c r="Q301" s="32"/>
      <c r="R301" s="38"/>
      <c r="S301" s="38"/>
      <c r="T301" s="38"/>
      <c r="U301" s="32"/>
      <c r="V301" s="32"/>
      <c r="W301" s="32"/>
      <c r="X301" s="32"/>
    </row>
    <row r="302" spans="1:24" ht="15.75" customHeight="1" x14ac:dyDescent="0.25">
      <c r="A302" s="16" t="s">
        <v>5</v>
      </c>
      <c r="B302" s="36">
        <v>389379.16000000003</v>
      </c>
      <c r="C302" s="36">
        <v>352377.87999999995</v>
      </c>
      <c r="D302" s="36">
        <v>317268.5</v>
      </c>
      <c r="E302" s="36">
        <v>414603.48</v>
      </c>
      <c r="F302" s="36">
        <v>319013.53000000003</v>
      </c>
      <c r="G302" s="36">
        <v>251153.54</v>
      </c>
      <c r="H302" s="36">
        <v>374079</v>
      </c>
      <c r="I302" s="36">
        <v>302076.19</v>
      </c>
      <c r="J302" s="36">
        <v>424608</v>
      </c>
      <c r="K302" s="50">
        <v>275233.88</v>
      </c>
      <c r="L302" s="36">
        <v>385802.14</v>
      </c>
      <c r="M302" s="36">
        <v>295672.81</v>
      </c>
      <c r="N302" s="32"/>
      <c r="O302" s="36">
        <f t="shared" ref="O302:O312" si="14">SUM(B302:M302)</f>
        <v>4101268.11</v>
      </c>
      <c r="P302" s="36">
        <f>O302+15386062</f>
        <v>19487330.109999999</v>
      </c>
      <c r="Q302" s="32"/>
      <c r="R302" s="38"/>
      <c r="S302" s="38"/>
      <c r="T302" s="38"/>
      <c r="U302" s="32"/>
      <c r="V302" s="32"/>
      <c r="W302" s="32"/>
      <c r="X302" s="32"/>
    </row>
    <row r="303" spans="1:24" ht="15.75" customHeight="1" x14ac:dyDescent="0.25">
      <c r="A303" s="16" t="s">
        <v>6</v>
      </c>
      <c r="B303" s="36">
        <v>46725.500000000007</v>
      </c>
      <c r="C303" s="36">
        <v>49332.9</v>
      </c>
      <c r="D303" s="36">
        <v>44417.59</v>
      </c>
      <c r="E303" s="36">
        <v>58044.49</v>
      </c>
      <c r="F303" s="36">
        <v>44661.89</v>
      </c>
      <c r="G303" s="36">
        <v>35161.5</v>
      </c>
      <c r="H303" s="36">
        <v>52371.06</v>
      </c>
      <c r="I303" s="36">
        <v>42290.659999999996</v>
      </c>
      <c r="J303" s="36">
        <v>59445.119999999995</v>
      </c>
      <c r="K303" s="50">
        <v>38532.74</v>
      </c>
      <c r="L303" s="36">
        <v>54012.299999999996</v>
      </c>
      <c r="M303" s="36">
        <v>41394.19</v>
      </c>
      <c r="N303" s="32"/>
      <c r="O303" s="36">
        <f t="shared" si="14"/>
        <v>566389.93999999994</v>
      </c>
      <c r="P303" s="36">
        <f>O303+2051108</f>
        <v>2617497.94</v>
      </c>
      <c r="Q303" s="32"/>
      <c r="R303" s="38"/>
      <c r="S303" s="38"/>
      <c r="T303" s="38"/>
      <c r="U303" s="32"/>
      <c r="V303" s="32"/>
      <c r="W303" s="32"/>
      <c r="X303" s="32"/>
    </row>
    <row r="304" spans="1:24" ht="15.75" customHeight="1" x14ac:dyDescent="0.25">
      <c r="A304" s="16" t="s">
        <v>7</v>
      </c>
      <c r="B304" s="36">
        <v>7787.59</v>
      </c>
      <c r="C304" s="36">
        <v>7047.55</v>
      </c>
      <c r="D304" s="36">
        <v>6345.37</v>
      </c>
      <c r="E304" s="36">
        <v>8292.07</v>
      </c>
      <c r="F304" s="36">
        <v>6380.2699999999995</v>
      </c>
      <c r="G304" s="36">
        <v>5023.08</v>
      </c>
      <c r="H304" s="36">
        <v>7481.58</v>
      </c>
      <c r="I304" s="36">
        <v>6041.53</v>
      </c>
      <c r="J304" s="36">
        <v>8492.16</v>
      </c>
      <c r="K304" s="50">
        <v>5504.68</v>
      </c>
      <c r="L304" s="36">
        <v>7716.04</v>
      </c>
      <c r="M304" s="36">
        <v>5913.4599999999991</v>
      </c>
      <c r="N304" s="32"/>
      <c r="O304" s="36">
        <f t="shared" si="14"/>
        <v>82025.38</v>
      </c>
      <c r="P304" s="36">
        <f>O304+307722</f>
        <v>389747.38</v>
      </c>
      <c r="Q304" s="32"/>
      <c r="R304" s="38"/>
      <c r="S304" s="38"/>
      <c r="T304" s="38"/>
      <c r="U304" s="32"/>
      <c r="V304" s="32"/>
      <c r="W304" s="32"/>
      <c r="X304" s="32"/>
    </row>
    <row r="305" spans="1:24" ht="15.75" customHeight="1" x14ac:dyDescent="0.25">
      <c r="A305" s="13" t="s">
        <v>10</v>
      </c>
      <c r="B305" s="33">
        <v>0</v>
      </c>
      <c r="C305" s="33">
        <v>0</v>
      </c>
      <c r="D305" s="33">
        <v>0</v>
      </c>
      <c r="E305" s="33">
        <v>0</v>
      </c>
      <c r="F305" s="33">
        <v>0</v>
      </c>
      <c r="G305" s="33">
        <v>0</v>
      </c>
      <c r="H305" s="33">
        <v>0</v>
      </c>
      <c r="I305" s="33">
        <v>0</v>
      </c>
      <c r="J305" s="33">
        <v>0</v>
      </c>
      <c r="K305" s="49" t="s">
        <v>43</v>
      </c>
      <c r="L305" s="49" t="s">
        <v>43</v>
      </c>
      <c r="M305" s="33">
        <v>0</v>
      </c>
      <c r="N305" s="32"/>
      <c r="O305" s="33"/>
      <c r="P305" s="33"/>
      <c r="Q305" s="32"/>
      <c r="R305" s="38"/>
      <c r="S305" s="38"/>
      <c r="T305" s="38"/>
      <c r="U305" s="32"/>
      <c r="V305" s="32"/>
      <c r="W305" s="32"/>
      <c r="X305" s="32"/>
    </row>
    <row r="306" spans="1:24" ht="15.75" customHeight="1" x14ac:dyDescent="0.25">
      <c r="A306" s="16" t="s">
        <v>5</v>
      </c>
      <c r="B306" s="36">
        <v>0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50">
        <v>0</v>
      </c>
      <c r="L306" s="36">
        <v>0</v>
      </c>
      <c r="M306" s="36">
        <v>0</v>
      </c>
      <c r="N306" s="32"/>
      <c r="O306" s="36">
        <f t="shared" si="14"/>
        <v>0</v>
      </c>
      <c r="P306" s="36">
        <f>O306</f>
        <v>0</v>
      </c>
      <c r="Q306" s="32"/>
      <c r="R306" s="38"/>
      <c r="S306" s="38"/>
      <c r="T306" s="38"/>
      <c r="U306" s="32"/>
      <c r="V306" s="32"/>
      <c r="W306" s="32"/>
      <c r="X306" s="32"/>
    </row>
    <row r="307" spans="1:24" ht="15.75" customHeight="1" x14ac:dyDescent="0.25">
      <c r="A307" s="16" t="s">
        <v>6</v>
      </c>
      <c r="B307" s="36">
        <v>0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50">
        <v>0</v>
      </c>
      <c r="L307" s="36">
        <v>0</v>
      </c>
      <c r="M307" s="36">
        <v>0</v>
      </c>
      <c r="N307" s="32"/>
      <c r="O307" s="36">
        <f t="shared" si="14"/>
        <v>0</v>
      </c>
      <c r="P307" s="36">
        <f>O307</f>
        <v>0</v>
      </c>
      <c r="Q307" s="32"/>
      <c r="R307" s="38"/>
      <c r="S307" s="38"/>
      <c r="T307" s="38"/>
      <c r="U307" s="32"/>
      <c r="V307" s="32"/>
      <c r="W307" s="32"/>
      <c r="X307" s="32"/>
    </row>
    <row r="308" spans="1:24" ht="15.75" customHeight="1" x14ac:dyDescent="0.25">
      <c r="A308" s="16" t="s">
        <v>7</v>
      </c>
      <c r="B308" s="36">
        <v>0</v>
      </c>
      <c r="C308" s="36">
        <v>0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50">
        <v>0</v>
      </c>
      <c r="L308" s="36">
        <v>0</v>
      </c>
      <c r="M308" s="36">
        <v>0</v>
      </c>
      <c r="N308" s="32"/>
      <c r="O308" s="36">
        <f t="shared" si="14"/>
        <v>0</v>
      </c>
      <c r="P308" s="36">
        <f>O308</f>
        <v>0</v>
      </c>
      <c r="Q308" s="32"/>
      <c r="R308" s="38"/>
      <c r="S308" s="38"/>
      <c r="T308" s="38"/>
      <c r="U308" s="32"/>
      <c r="V308" s="32"/>
      <c r="W308" s="32"/>
      <c r="X308" s="32"/>
    </row>
    <row r="309" spans="1:24" ht="15.75" customHeight="1" x14ac:dyDescent="0.25">
      <c r="A309" s="13" t="s">
        <v>45</v>
      </c>
      <c r="B309" s="33">
        <v>0</v>
      </c>
      <c r="C309" s="33">
        <v>0</v>
      </c>
      <c r="D309" s="33">
        <v>0</v>
      </c>
      <c r="E309" s="33">
        <v>0</v>
      </c>
      <c r="F309" s="33">
        <v>0</v>
      </c>
      <c r="G309" s="33">
        <v>0</v>
      </c>
      <c r="H309" s="33">
        <v>0</v>
      </c>
      <c r="I309" s="33">
        <v>0</v>
      </c>
      <c r="J309" s="33">
        <v>0</v>
      </c>
      <c r="K309" s="49" t="s">
        <v>43</v>
      </c>
      <c r="L309" s="49" t="s">
        <v>43</v>
      </c>
      <c r="M309" s="33">
        <v>0</v>
      </c>
      <c r="N309" s="32"/>
      <c r="O309" s="33"/>
      <c r="P309" s="33"/>
      <c r="Q309" s="32"/>
      <c r="R309" s="38"/>
      <c r="S309" s="38"/>
      <c r="T309" s="38"/>
      <c r="U309" s="32"/>
      <c r="V309" s="32"/>
      <c r="W309" s="32"/>
      <c r="X309" s="32"/>
    </row>
    <row r="310" spans="1:24" ht="15.75" customHeight="1" x14ac:dyDescent="0.25">
      <c r="A310" s="16" t="s">
        <v>5</v>
      </c>
      <c r="B310" s="36">
        <v>0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50">
        <v>0</v>
      </c>
      <c r="L310" s="36">
        <v>0</v>
      </c>
      <c r="M310" s="36">
        <v>0</v>
      </c>
      <c r="N310" s="32"/>
      <c r="O310" s="36">
        <f t="shared" si="14"/>
        <v>0</v>
      </c>
      <c r="P310" s="36">
        <f>O310</f>
        <v>0</v>
      </c>
      <c r="Q310" s="32"/>
      <c r="R310" s="38"/>
      <c r="S310" s="38"/>
      <c r="T310" s="38"/>
      <c r="U310" s="32"/>
      <c r="V310" s="32"/>
      <c r="W310" s="32"/>
      <c r="X310" s="32"/>
    </row>
    <row r="311" spans="1:24" ht="15.75" customHeight="1" x14ac:dyDescent="0.25">
      <c r="A311" s="16" t="s">
        <v>6</v>
      </c>
      <c r="B311" s="36">
        <v>0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50">
        <v>0</v>
      </c>
      <c r="L311" s="36">
        <v>0</v>
      </c>
      <c r="M311" s="36">
        <v>0</v>
      </c>
      <c r="N311" s="32"/>
      <c r="O311" s="36">
        <f t="shared" si="14"/>
        <v>0</v>
      </c>
      <c r="P311" s="36">
        <f>O311</f>
        <v>0</v>
      </c>
      <c r="Q311" s="32"/>
      <c r="R311" s="38"/>
      <c r="S311" s="38"/>
      <c r="T311" s="38"/>
      <c r="U311" s="32"/>
      <c r="V311" s="32"/>
      <c r="W311" s="32"/>
      <c r="X311" s="32"/>
    </row>
    <row r="312" spans="1:24" ht="15.75" customHeight="1" x14ac:dyDescent="0.25">
      <c r="A312" s="16" t="s">
        <v>7</v>
      </c>
      <c r="B312" s="36">
        <v>0</v>
      </c>
      <c r="C312" s="36">
        <v>0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50">
        <v>0</v>
      </c>
      <c r="L312" s="36">
        <v>0</v>
      </c>
      <c r="M312" s="36">
        <v>0</v>
      </c>
      <c r="N312" s="32"/>
      <c r="O312" s="36">
        <f t="shared" si="14"/>
        <v>0</v>
      </c>
      <c r="P312" s="36">
        <f>O312</f>
        <v>0</v>
      </c>
      <c r="Q312" s="32"/>
      <c r="R312" s="38"/>
      <c r="S312" s="38"/>
      <c r="T312" s="38"/>
      <c r="U312" s="32"/>
      <c r="V312" s="32"/>
      <c r="W312" s="32"/>
      <c r="X312" s="32"/>
    </row>
    <row r="313" spans="1:24" ht="15.75" customHeight="1" x14ac:dyDescent="0.25">
      <c r="A313" s="21" t="s">
        <v>11</v>
      </c>
      <c r="B313" s="33">
        <v>0</v>
      </c>
      <c r="C313" s="33">
        <v>0</v>
      </c>
      <c r="D313" s="33">
        <v>0</v>
      </c>
      <c r="E313" s="33">
        <v>0</v>
      </c>
      <c r="F313" s="33">
        <v>0</v>
      </c>
      <c r="G313" s="33">
        <v>0</v>
      </c>
      <c r="H313" s="33">
        <v>0</v>
      </c>
      <c r="I313" s="33">
        <v>0</v>
      </c>
      <c r="J313" s="33">
        <v>0</v>
      </c>
      <c r="K313" s="33">
        <v>0</v>
      </c>
      <c r="L313" s="49" t="s">
        <v>43</v>
      </c>
      <c r="M313" s="49">
        <v>0</v>
      </c>
      <c r="N313" s="32"/>
      <c r="O313" s="36"/>
      <c r="P313" s="36"/>
      <c r="Q313" s="32"/>
      <c r="R313" s="38"/>
      <c r="S313" s="38"/>
      <c r="T313" s="38"/>
      <c r="U313" s="32"/>
      <c r="V313" s="32"/>
      <c r="W313" s="32"/>
      <c r="X313" s="32"/>
    </row>
    <row r="314" spans="1:24" ht="15.75" customHeight="1" x14ac:dyDescent="0.25">
      <c r="A314" s="22" t="s">
        <v>5</v>
      </c>
      <c r="B314" s="36">
        <v>0</v>
      </c>
      <c r="C314" s="36">
        <v>0</v>
      </c>
      <c r="D314" s="36">
        <v>0</v>
      </c>
      <c r="E314" s="36">
        <v>0</v>
      </c>
      <c r="F314" s="36">
        <v>0</v>
      </c>
      <c r="G314" s="36">
        <v>0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36">
        <v>0</v>
      </c>
      <c r="N314" s="32"/>
      <c r="O314" s="36">
        <f t="shared" ref="O314:O316" si="15">SUM(B314:M314)</f>
        <v>0</v>
      </c>
      <c r="P314" s="36">
        <f>O314</f>
        <v>0</v>
      </c>
      <c r="Q314" s="32"/>
      <c r="R314" s="38"/>
      <c r="S314" s="38"/>
      <c r="T314" s="38"/>
      <c r="U314" s="32"/>
      <c r="V314" s="32"/>
      <c r="W314" s="32"/>
      <c r="X314" s="32"/>
    </row>
    <row r="315" spans="1:24" ht="15.75" customHeight="1" x14ac:dyDescent="0.25">
      <c r="A315" s="16" t="s">
        <v>6</v>
      </c>
      <c r="B315" s="36">
        <v>0</v>
      </c>
      <c r="C315" s="36">
        <v>0</v>
      </c>
      <c r="D315" s="36">
        <v>0</v>
      </c>
      <c r="E315" s="36">
        <v>0</v>
      </c>
      <c r="F315" s="36">
        <v>0</v>
      </c>
      <c r="G315" s="36">
        <v>0</v>
      </c>
      <c r="H315" s="36">
        <v>0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2"/>
      <c r="O315" s="36">
        <f t="shared" si="15"/>
        <v>0</v>
      </c>
      <c r="P315" s="36">
        <f>O315</f>
        <v>0</v>
      </c>
      <c r="Q315" s="32"/>
      <c r="R315" s="38"/>
      <c r="S315" s="38"/>
      <c r="T315" s="38"/>
      <c r="U315" s="32"/>
      <c r="V315" s="32"/>
      <c r="W315" s="32"/>
      <c r="X315" s="32"/>
    </row>
    <row r="316" spans="1:24" ht="15.75" customHeight="1" x14ac:dyDescent="0.25">
      <c r="A316" s="22" t="s">
        <v>7</v>
      </c>
      <c r="B316" s="36">
        <v>0</v>
      </c>
      <c r="C316" s="36">
        <v>0</v>
      </c>
      <c r="D316" s="36">
        <v>0</v>
      </c>
      <c r="E316" s="36">
        <v>0</v>
      </c>
      <c r="F316" s="36">
        <v>0</v>
      </c>
      <c r="G316" s="36">
        <v>0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36">
        <v>0</v>
      </c>
      <c r="N316" s="32"/>
      <c r="O316" s="36">
        <f t="shared" si="15"/>
        <v>0</v>
      </c>
      <c r="P316" s="36">
        <f>O316</f>
        <v>0</v>
      </c>
      <c r="Q316" s="32"/>
      <c r="R316" s="38"/>
      <c r="S316" s="38"/>
      <c r="T316" s="38"/>
      <c r="U316" s="32"/>
      <c r="V316" s="32"/>
      <c r="W316" s="32"/>
      <c r="X316" s="32"/>
    </row>
    <row r="317" spans="1:24" ht="15.75" customHeight="1" x14ac:dyDescent="0.25">
      <c r="A317" s="16"/>
      <c r="B317" s="33"/>
      <c r="C317" s="45"/>
      <c r="D317" s="45"/>
      <c r="E317" s="33"/>
      <c r="F317" s="33"/>
      <c r="G317" s="33"/>
      <c r="H317" s="32"/>
      <c r="I317" s="33"/>
      <c r="J317" s="42"/>
      <c r="K317" s="52"/>
      <c r="L317" s="36"/>
      <c r="M317" s="36"/>
      <c r="N317" s="32"/>
      <c r="O317" s="42"/>
      <c r="P317" s="42"/>
      <c r="Q317" s="32"/>
      <c r="R317" s="38"/>
      <c r="S317" s="38"/>
      <c r="T317" s="38"/>
      <c r="U317" s="32"/>
      <c r="V317" s="32"/>
      <c r="W317" s="32"/>
      <c r="X317" s="32"/>
    </row>
    <row r="318" spans="1:24" ht="15.75" customHeight="1" x14ac:dyDescent="0.25">
      <c r="A318" s="12" t="s">
        <v>24</v>
      </c>
      <c r="B318" s="42"/>
      <c r="C318" s="36"/>
      <c r="D318" s="36"/>
      <c r="E318" s="42"/>
      <c r="F318" s="42"/>
      <c r="G318" s="42"/>
      <c r="H318" s="32"/>
      <c r="I318" s="42"/>
      <c r="J318" s="42"/>
      <c r="K318" s="52"/>
      <c r="L318" s="36"/>
      <c r="M318" s="36"/>
      <c r="N318" s="32"/>
      <c r="O318" s="42"/>
      <c r="P318" s="42"/>
      <c r="Q318" s="32"/>
      <c r="R318" s="38"/>
      <c r="S318" s="38"/>
      <c r="T318" s="38"/>
      <c r="U318" s="32"/>
      <c r="V318" s="32"/>
      <c r="W318" s="32"/>
      <c r="X318" s="32"/>
    </row>
    <row r="319" spans="1:24" ht="15.75" customHeight="1" x14ac:dyDescent="0.25">
      <c r="A319" s="13" t="s">
        <v>4</v>
      </c>
      <c r="B319" s="46">
        <v>1209.8</v>
      </c>
      <c r="C319" s="47">
        <v>1209.2</v>
      </c>
      <c r="D319" s="47">
        <v>1217</v>
      </c>
      <c r="E319" s="46">
        <v>1218</v>
      </c>
      <c r="F319" s="46">
        <v>1216</v>
      </c>
      <c r="G319" s="46">
        <v>1219</v>
      </c>
      <c r="H319" s="46">
        <v>1223.5999999999999</v>
      </c>
      <c r="I319" s="46">
        <v>1229.2</v>
      </c>
      <c r="J319" s="46">
        <v>1233.56</v>
      </c>
      <c r="K319" s="53">
        <v>1234.8</v>
      </c>
      <c r="L319" s="47">
        <v>1235.8</v>
      </c>
      <c r="M319" s="47">
        <v>1236.1600000000001</v>
      </c>
      <c r="N319" s="32"/>
      <c r="O319" s="33"/>
      <c r="P319" s="33"/>
      <c r="Q319" s="32"/>
      <c r="R319" s="38"/>
      <c r="S319" s="38"/>
      <c r="T319" s="38"/>
      <c r="U319" s="32"/>
      <c r="V319" s="32"/>
      <c r="W319" s="32"/>
      <c r="X319" s="32"/>
    </row>
    <row r="320" spans="1:24" ht="15.75" customHeight="1" x14ac:dyDescent="0.25">
      <c r="A320" s="16" t="s">
        <v>5</v>
      </c>
      <c r="B320" s="36">
        <v>75027628.389999986</v>
      </c>
      <c r="C320" s="36">
        <v>66955104.760000005</v>
      </c>
      <c r="D320" s="36">
        <v>68787146.879999995</v>
      </c>
      <c r="E320" s="36">
        <v>71161384.269999996</v>
      </c>
      <c r="F320" s="36">
        <v>70237664.219999999</v>
      </c>
      <c r="G320" s="36">
        <v>71878289.600000009</v>
      </c>
      <c r="H320" s="36">
        <v>72610201.850000009</v>
      </c>
      <c r="I320" s="36">
        <v>66303288.880000003</v>
      </c>
      <c r="J320" s="36">
        <v>79545430.960000008</v>
      </c>
      <c r="K320" s="50">
        <v>79596705.797142848</v>
      </c>
      <c r="L320" s="36">
        <v>74464758.780000001</v>
      </c>
      <c r="M320" s="36">
        <v>69951215.810000002</v>
      </c>
      <c r="N320" s="32"/>
      <c r="O320" s="36">
        <f>SUM(B320:M320)</f>
        <v>866518820.19714284</v>
      </c>
      <c r="P320" s="36">
        <f>P8+P34+P60+P86+P112+P138+P164+P190+P216+P242+P268+P294</f>
        <v>5101981830.1971426</v>
      </c>
      <c r="Q320" s="48"/>
      <c r="R320" s="38"/>
      <c r="S320" s="38"/>
      <c r="T320" s="38"/>
      <c r="U320" s="32"/>
      <c r="V320" s="32"/>
      <c r="W320" s="32"/>
      <c r="X320" s="32"/>
    </row>
    <row r="321" spans="1:24" ht="15.75" customHeight="1" x14ac:dyDescent="0.25">
      <c r="A321" s="16" t="s">
        <v>6</v>
      </c>
      <c r="B321" s="36">
        <v>9172318.8699999992</v>
      </c>
      <c r="C321" s="36">
        <v>9529404.6199999992</v>
      </c>
      <c r="D321" s="36">
        <v>9767448.4399999995</v>
      </c>
      <c r="E321" s="36">
        <v>10077490.82</v>
      </c>
      <c r="F321" s="36">
        <v>9966665.1400000006</v>
      </c>
      <c r="G321" s="36">
        <v>10165957.840000002</v>
      </c>
      <c r="H321" s="36">
        <v>10240022.49</v>
      </c>
      <c r="I321" s="36">
        <v>9391440.5299999993</v>
      </c>
      <c r="J321" s="36">
        <v>11247458.359999998</v>
      </c>
      <c r="K321" s="50">
        <v>11276011.699999999</v>
      </c>
      <c r="L321" s="36">
        <v>10514448.210000003</v>
      </c>
      <c r="M321" s="36">
        <v>9850456.2199999988</v>
      </c>
      <c r="N321" s="32"/>
      <c r="O321" s="36">
        <f>SUM(B321:M321)</f>
        <v>121199123.24000001</v>
      </c>
      <c r="P321" s="36">
        <f>P9+P35+P61+P87+P113+P139+P165+P191+P217+P243+P269+P295</f>
        <v>665386117.24000001</v>
      </c>
      <c r="Q321" s="48"/>
      <c r="R321" s="38"/>
      <c r="S321" s="38"/>
      <c r="T321" s="38"/>
      <c r="U321" s="32"/>
      <c r="V321" s="32"/>
      <c r="W321" s="32"/>
      <c r="X321" s="32"/>
    </row>
    <row r="322" spans="1:24" ht="15.75" customHeight="1" x14ac:dyDescent="0.25">
      <c r="A322" s="16" t="s">
        <v>7</v>
      </c>
      <c r="B322" s="36">
        <v>1500552.6500000001</v>
      </c>
      <c r="C322" s="36">
        <v>1339102.1400000001</v>
      </c>
      <c r="D322" s="36">
        <v>1375743.04</v>
      </c>
      <c r="E322" s="36">
        <v>1423227.76</v>
      </c>
      <c r="F322" s="36">
        <v>1404753.38</v>
      </c>
      <c r="G322" s="36">
        <v>1437565.8900000004</v>
      </c>
      <c r="H322" s="36">
        <v>1452204.1800000004</v>
      </c>
      <c r="I322" s="36">
        <v>1326065.8500000001</v>
      </c>
      <c r="J322" s="36">
        <v>1590908.6999999997</v>
      </c>
      <c r="K322" s="50">
        <v>1591934.18</v>
      </c>
      <c r="L322" s="36">
        <v>1489295.2</v>
      </c>
      <c r="M322" s="36">
        <v>1399024.49</v>
      </c>
      <c r="N322" s="32"/>
      <c r="O322" s="36">
        <f>SUM(B322:M322)</f>
        <v>17330377.459999997</v>
      </c>
      <c r="P322" s="36">
        <f>P10+P36+P62+P88+P114+P140+P166+P192+P218+P244+P270+P296</f>
        <v>102039644.45999999</v>
      </c>
      <c r="Q322" s="48"/>
      <c r="R322" s="38"/>
      <c r="S322" s="38"/>
      <c r="T322" s="38"/>
      <c r="U322" s="32"/>
      <c r="V322" s="32"/>
      <c r="W322" s="32"/>
      <c r="X322" s="32"/>
    </row>
    <row r="323" spans="1:24" ht="15.75" customHeight="1" x14ac:dyDescent="0.25">
      <c r="A323" s="13" t="s">
        <v>8</v>
      </c>
      <c r="B323" s="33">
        <v>226</v>
      </c>
      <c r="C323" s="33">
        <v>225.8</v>
      </c>
      <c r="D323" s="33">
        <v>225.4</v>
      </c>
      <c r="E323" s="33">
        <v>225</v>
      </c>
      <c r="F323" s="33">
        <v>225</v>
      </c>
      <c r="G323" s="33">
        <v>225</v>
      </c>
      <c r="H323" s="33">
        <v>225</v>
      </c>
      <c r="I323" s="33">
        <v>225</v>
      </c>
      <c r="J323" s="33">
        <v>225</v>
      </c>
      <c r="K323" s="49">
        <v>225</v>
      </c>
      <c r="L323" s="33">
        <v>225</v>
      </c>
      <c r="M323" s="33">
        <v>225</v>
      </c>
      <c r="N323" s="32"/>
      <c r="O323" s="33"/>
      <c r="P323" s="33"/>
      <c r="Q323" s="48"/>
      <c r="R323" s="38"/>
      <c r="S323" s="38"/>
      <c r="T323" s="38"/>
      <c r="U323" s="32"/>
      <c r="V323" s="32"/>
      <c r="W323" s="32"/>
      <c r="X323" s="32"/>
    </row>
    <row r="324" spans="1:24" ht="15.75" customHeight="1" x14ac:dyDescent="0.25">
      <c r="A324" s="16" t="s">
        <v>5</v>
      </c>
      <c r="B324" s="36">
        <v>4963996</v>
      </c>
      <c r="C324" s="36">
        <v>4939007.5999999996</v>
      </c>
      <c r="D324" s="36">
        <v>4489781.01</v>
      </c>
      <c r="E324" s="36">
        <v>4747581.5999999996</v>
      </c>
      <c r="F324" s="36">
        <v>4870621.01</v>
      </c>
      <c r="G324" s="36">
        <v>5023429</v>
      </c>
      <c r="H324" s="36">
        <v>4938818</v>
      </c>
      <c r="I324" s="36">
        <v>4941514.05</v>
      </c>
      <c r="J324" s="36">
        <v>5451780</v>
      </c>
      <c r="K324" s="50">
        <v>5054403.05</v>
      </c>
      <c r="L324" s="36">
        <v>5089041.01</v>
      </c>
      <c r="M324" s="36">
        <v>4674521</v>
      </c>
      <c r="N324" s="32"/>
      <c r="O324" s="36">
        <f>SUM(B324:M324)</f>
        <v>59184493.329999991</v>
      </c>
      <c r="P324" s="36">
        <f>P12+P38+P64+P90+P116+P142+P168+P194+P220+P246+P272+P298</f>
        <v>402520956.32999998</v>
      </c>
      <c r="Q324" s="48"/>
      <c r="R324" s="38"/>
      <c r="S324" s="38"/>
      <c r="T324" s="38"/>
      <c r="U324" s="32"/>
      <c r="V324" s="32"/>
      <c r="W324" s="32"/>
      <c r="X324" s="32"/>
    </row>
    <row r="325" spans="1:24" ht="15.75" customHeight="1" x14ac:dyDescent="0.25">
      <c r="A325" s="16" t="s">
        <v>6</v>
      </c>
      <c r="B325" s="36">
        <v>595679.52</v>
      </c>
      <c r="C325" s="36">
        <v>691461.05999999994</v>
      </c>
      <c r="D325" s="36">
        <v>628569.34000000008</v>
      </c>
      <c r="E325" s="36">
        <v>664661.42000000004</v>
      </c>
      <c r="F325" s="36">
        <v>681886.94</v>
      </c>
      <c r="G325" s="36">
        <v>703280.06</v>
      </c>
      <c r="H325" s="36">
        <v>691434.52</v>
      </c>
      <c r="I325" s="36">
        <v>691811.97</v>
      </c>
      <c r="J325" s="36">
        <v>763249.20000000007</v>
      </c>
      <c r="K325" s="50">
        <v>707616.43</v>
      </c>
      <c r="L325" s="36">
        <v>712465.74</v>
      </c>
      <c r="M325" s="36">
        <v>654432.94000000006</v>
      </c>
      <c r="N325" s="32"/>
      <c r="O325" s="36">
        <f>SUM(B325:M325)</f>
        <v>8186549.1400000006</v>
      </c>
      <c r="P325" s="36">
        <f>P13+P39+P65+P91+P117+P143+P169+P195+P221+P247+P273+P299</f>
        <v>51690482.139999993</v>
      </c>
      <c r="Q325" s="48"/>
      <c r="R325" s="38"/>
      <c r="S325" s="38"/>
      <c r="T325" s="38"/>
      <c r="U325" s="32"/>
      <c r="V325" s="32"/>
      <c r="W325" s="32"/>
      <c r="X325" s="32"/>
    </row>
    <row r="326" spans="1:24" ht="15.75" customHeight="1" x14ac:dyDescent="0.25">
      <c r="A326" s="16" t="s">
        <v>7</v>
      </c>
      <c r="B326" s="36">
        <v>99279.920000000013</v>
      </c>
      <c r="C326" s="36">
        <v>98780.15</v>
      </c>
      <c r="D326" s="36">
        <v>89795.62</v>
      </c>
      <c r="E326" s="36">
        <v>94951.63</v>
      </c>
      <c r="F326" s="36">
        <v>97412.419999999984</v>
      </c>
      <c r="G326" s="36">
        <v>100468.58</v>
      </c>
      <c r="H326" s="36">
        <v>98776.360000000015</v>
      </c>
      <c r="I326" s="36">
        <v>98830.28</v>
      </c>
      <c r="J326" s="36">
        <v>109035.60000000002</v>
      </c>
      <c r="K326" s="50">
        <v>101088.06</v>
      </c>
      <c r="L326" s="36">
        <v>101780.82</v>
      </c>
      <c r="M326" s="36">
        <v>93490.42</v>
      </c>
      <c r="N326" s="32"/>
      <c r="O326" s="36">
        <f>SUM(B326:M326)</f>
        <v>1183689.8599999999</v>
      </c>
      <c r="P326" s="36">
        <f>P14+P40+P66+P92+P118+P144+P170+P196+P222+P248+P274+P300</f>
        <v>8050421.8600000003</v>
      </c>
      <c r="Q326" s="48"/>
      <c r="R326" s="38"/>
      <c r="S326" s="38"/>
      <c r="T326" s="38"/>
      <c r="U326" s="32"/>
      <c r="V326" s="32"/>
      <c r="W326" s="32"/>
      <c r="X326" s="32"/>
    </row>
    <row r="327" spans="1:24" ht="15.75" customHeight="1" x14ac:dyDescent="0.25">
      <c r="A327" s="13" t="s">
        <v>9</v>
      </c>
      <c r="B327" s="33">
        <v>930.8</v>
      </c>
      <c r="C327" s="33">
        <v>930.4</v>
      </c>
      <c r="D327" s="33">
        <v>936</v>
      </c>
      <c r="E327" s="33">
        <v>939</v>
      </c>
      <c r="F327" s="33">
        <v>937</v>
      </c>
      <c r="G327" s="33">
        <v>935.4</v>
      </c>
      <c r="H327" s="33">
        <v>939.8</v>
      </c>
      <c r="I327" s="33">
        <v>944.2</v>
      </c>
      <c r="J327" s="33">
        <v>948</v>
      </c>
      <c r="K327" s="49">
        <v>949.19999999999993</v>
      </c>
      <c r="L327" s="33">
        <v>950.4</v>
      </c>
      <c r="M327" s="33">
        <v>950.8</v>
      </c>
      <c r="N327" s="32"/>
      <c r="O327" s="33"/>
      <c r="P327" s="33"/>
      <c r="Q327" s="48"/>
      <c r="R327" s="38"/>
      <c r="S327" s="38"/>
      <c r="T327" s="38"/>
      <c r="U327" s="32"/>
      <c r="V327" s="32"/>
      <c r="W327" s="32"/>
      <c r="X327" s="32"/>
    </row>
    <row r="328" spans="1:24" ht="15.75" customHeight="1" x14ac:dyDescent="0.25">
      <c r="A328" s="16" t="s">
        <v>5</v>
      </c>
      <c r="B328" s="36">
        <v>68401613.429999992</v>
      </c>
      <c r="C328" s="36">
        <v>60412866.160000004</v>
      </c>
      <c r="D328" s="36">
        <v>62567031.839999996</v>
      </c>
      <c r="E328" s="36">
        <v>64659060.289999992</v>
      </c>
      <c r="F328" s="36">
        <v>63801563.319999993</v>
      </c>
      <c r="G328" s="36">
        <v>65246734.560000002</v>
      </c>
      <c r="H328" s="36">
        <v>66049173.530000001</v>
      </c>
      <c r="I328" s="36">
        <v>59257781.670000002</v>
      </c>
      <c r="J328" s="36">
        <v>72081330.769999996</v>
      </c>
      <c r="K328" s="50">
        <v>72632559.21714285</v>
      </c>
      <c r="L328" s="36">
        <v>67744555.579999998</v>
      </c>
      <c r="M328" s="36">
        <v>63589452.25</v>
      </c>
      <c r="N328" s="32"/>
      <c r="O328" s="36">
        <f>SUM(B328:M328)</f>
        <v>786443722.61714292</v>
      </c>
      <c r="P328" s="36">
        <f>P16+P42+P68+P94+P120+P146+P172+P198+P224+P250+P276+P302</f>
        <v>4635445721.6171427</v>
      </c>
      <c r="Q328" s="48"/>
      <c r="R328" s="38"/>
      <c r="S328" s="38"/>
      <c r="T328" s="38"/>
      <c r="U328" s="32"/>
      <c r="V328" s="32"/>
      <c r="W328" s="32"/>
      <c r="X328" s="32"/>
    </row>
    <row r="329" spans="1:24" ht="15.75" customHeight="1" x14ac:dyDescent="0.25">
      <c r="A329" s="16" t="s">
        <v>6</v>
      </c>
      <c r="B329" s="36">
        <v>8208193.6200000001</v>
      </c>
      <c r="C329" s="36">
        <v>8457801.3000000007</v>
      </c>
      <c r="D329" s="36">
        <v>8759384.5500000007</v>
      </c>
      <c r="E329" s="36">
        <v>9052268.5500000007</v>
      </c>
      <c r="F329" s="36">
        <v>8932218.9699999988</v>
      </c>
      <c r="G329" s="36">
        <v>9134542.9199999999</v>
      </c>
      <c r="H329" s="36">
        <v>9246884.3800000008</v>
      </c>
      <c r="I329" s="36">
        <v>8296089.4900000002</v>
      </c>
      <c r="J329" s="36">
        <v>10091386.399999999</v>
      </c>
      <c r="K329" s="50">
        <v>10168558.340000002</v>
      </c>
      <c r="L329" s="36">
        <v>9484237.8200000003</v>
      </c>
      <c r="M329" s="36">
        <v>8902523.4299999997</v>
      </c>
      <c r="N329" s="32"/>
      <c r="O329" s="36">
        <f>SUM(B329:M329)</f>
        <v>108734089.77000001</v>
      </c>
      <c r="P329" s="36">
        <f>P17+P43+P69+P95+P121+P147+P173+P199+P225+P251+P277+P303</f>
        <v>593628565.76999998</v>
      </c>
      <c r="Q329" s="48"/>
      <c r="R329" s="38"/>
      <c r="S329" s="38"/>
      <c r="T329" s="38"/>
      <c r="U329" s="32"/>
      <c r="V329" s="32"/>
      <c r="W329" s="32"/>
      <c r="X329" s="32"/>
    </row>
    <row r="330" spans="1:24" ht="15.75" customHeight="1" x14ac:dyDescent="0.25">
      <c r="A330" s="16" t="s">
        <v>7</v>
      </c>
      <c r="B330" s="36">
        <v>1368032.35</v>
      </c>
      <c r="C330" s="36">
        <v>1208257.3799999999</v>
      </c>
      <c r="D330" s="36">
        <v>1251340.73</v>
      </c>
      <c r="E330" s="36">
        <v>1293181.31</v>
      </c>
      <c r="F330" s="36">
        <v>1276031.3399999999</v>
      </c>
      <c r="G330" s="36">
        <v>1304934.7800000003</v>
      </c>
      <c r="H330" s="36">
        <v>1320983.6000000001</v>
      </c>
      <c r="I330" s="36">
        <v>1185155.69</v>
      </c>
      <c r="J330" s="36">
        <v>1441626.6999999997</v>
      </c>
      <c r="K330" s="50">
        <v>1452651.2599999998</v>
      </c>
      <c r="L330" s="36">
        <v>1354891.1600000001</v>
      </c>
      <c r="M330" s="36">
        <v>1271789.1600000001</v>
      </c>
      <c r="N330" s="32"/>
      <c r="O330" s="36">
        <f>SUM(B330:M330)</f>
        <v>15728875.459999999</v>
      </c>
      <c r="P330" s="36">
        <f>P18+P44+P70+P96+P122+P148+P174+P200+P226+P252+P278+P304</f>
        <v>92708924.459999993</v>
      </c>
      <c r="Q330" s="48"/>
      <c r="R330" s="38"/>
      <c r="S330" s="38"/>
      <c r="T330" s="38"/>
      <c r="U330" s="32"/>
      <c r="V330" s="32"/>
      <c r="W330" s="32"/>
      <c r="X330" s="32"/>
    </row>
    <row r="331" spans="1:24" ht="15.75" customHeight="1" x14ac:dyDescent="0.25">
      <c r="A331" s="13" t="s">
        <v>10</v>
      </c>
      <c r="B331" s="33">
        <v>0</v>
      </c>
      <c r="C331" s="33">
        <v>0</v>
      </c>
      <c r="D331" s="33">
        <v>0</v>
      </c>
      <c r="E331" s="33">
        <v>0</v>
      </c>
      <c r="F331" s="33">
        <v>0</v>
      </c>
      <c r="G331" s="33">
        <v>0</v>
      </c>
      <c r="H331" s="49" t="s">
        <v>43</v>
      </c>
      <c r="I331" s="49" t="s">
        <v>43</v>
      </c>
      <c r="J331" s="49" t="s">
        <v>43</v>
      </c>
      <c r="K331" s="49" t="s">
        <v>43</v>
      </c>
      <c r="L331" s="49" t="s">
        <v>43</v>
      </c>
      <c r="M331" s="33" t="s">
        <v>13</v>
      </c>
      <c r="N331" s="32"/>
      <c r="O331" s="33"/>
      <c r="P331" s="33"/>
      <c r="Q331" s="48"/>
      <c r="R331" s="38"/>
      <c r="S331" s="38"/>
      <c r="T331" s="38"/>
      <c r="U331" s="32"/>
      <c r="V331" s="32"/>
      <c r="W331" s="32"/>
      <c r="X331" s="32"/>
    </row>
    <row r="332" spans="1:24" ht="15.75" customHeight="1" x14ac:dyDescent="0.25">
      <c r="A332" s="16" t="s">
        <v>5</v>
      </c>
      <c r="B332" s="36">
        <v>0</v>
      </c>
      <c r="C332" s="36">
        <v>0</v>
      </c>
      <c r="D332" s="36">
        <v>0</v>
      </c>
      <c r="E332" s="36">
        <v>0</v>
      </c>
      <c r="F332" s="36">
        <v>0</v>
      </c>
      <c r="G332" s="36">
        <v>0</v>
      </c>
      <c r="H332" s="36">
        <v>0</v>
      </c>
      <c r="I332" s="36">
        <v>0</v>
      </c>
      <c r="J332" s="36">
        <v>0</v>
      </c>
      <c r="K332" s="50">
        <v>0</v>
      </c>
      <c r="L332" s="36">
        <v>0</v>
      </c>
      <c r="M332" s="36">
        <v>0</v>
      </c>
      <c r="N332" s="32"/>
      <c r="O332" s="36">
        <f>SUM(B332:M332)</f>
        <v>0</v>
      </c>
      <c r="P332" s="36">
        <f>P20+P46+P72+P98+P124+P150+P176+P202+P228+P254+P280+P306</f>
        <v>7833510</v>
      </c>
      <c r="Q332" s="48"/>
      <c r="R332" s="38"/>
      <c r="S332" s="38"/>
      <c r="T332" s="38"/>
      <c r="U332" s="32"/>
      <c r="V332" s="32"/>
      <c r="W332" s="32"/>
      <c r="X332" s="32"/>
    </row>
    <row r="333" spans="1:24" ht="15.75" customHeight="1" x14ac:dyDescent="0.25">
      <c r="A333" s="16" t="s">
        <v>6</v>
      </c>
      <c r="B333" s="36">
        <v>0</v>
      </c>
      <c r="C333" s="36">
        <v>0</v>
      </c>
      <c r="D333" s="36">
        <v>0</v>
      </c>
      <c r="E333" s="36">
        <v>0</v>
      </c>
      <c r="F333" s="36">
        <v>0</v>
      </c>
      <c r="G333" s="36">
        <v>0</v>
      </c>
      <c r="H333" s="36">
        <v>0</v>
      </c>
      <c r="I333" s="36">
        <v>0</v>
      </c>
      <c r="J333" s="36">
        <v>0</v>
      </c>
      <c r="K333" s="50">
        <v>0</v>
      </c>
      <c r="L333" s="36">
        <v>0</v>
      </c>
      <c r="M333" s="36">
        <v>0</v>
      </c>
      <c r="N333" s="32"/>
      <c r="O333" s="36">
        <f>SUM(B333:M333)</f>
        <v>0</v>
      </c>
      <c r="P333" s="36">
        <f>P21+P47+P73+P99+P125+P151+P177+P203+P229+P255+P281+P307</f>
        <v>1095237</v>
      </c>
      <c r="Q333" s="48"/>
      <c r="R333" s="38"/>
      <c r="S333" s="38"/>
      <c r="T333" s="38"/>
      <c r="U333" s="32"/>
      <c r="V333" s="32"/>
      <c r="W333" s="32"/>
      <c r="X333" s="32"/>
    </row>
    <row r="334" spans="1:24" ht="15.75" customHeight="1" x14ac:dyDescent="0.25">
      <c r="A334" s="16" t="s">
        <v>7</v>
      </c>
      <c r="B334" s="36">
        <v>0</v>
      </c>
      <c r="C334" s="36">
        <v>0</v>
      </c>
      <c r="D334" s="36">
        <v>0</v>
      </c>
      <c r="E334" s="36">
        <v>0</v>
      </c>
      <c r="F334" s="36">
        <v>0</v>
      </c>
      <c r="G334" s="36">
        <v>0</v>
      </c>
      <c r="H334" s="36">
        <v>0</v>
      </c>
      <c r="I334" s="36">
        <v>0</v>
      </c>
      <c r="J334" s="36">
        <v>0</v>
      </c>
      <c r="K334" s="50">
        <v>0</v>
      </c>
      <c r="L334" s="36">
        <v>0</v>
      </c>
      <c r="M334" s="36">
        <v>0</v>
      </c>
      <c r="N334" s="32"/>
      <c r="O334" s="36">
        <f>SUM(B334:M334)</f>
        <v>0</v>
      </c>
      <c r="P334" s="36">
        <f>P22+P48+P74+P100+P126+P152+P178+P204+P230+P256+P282+P308</f>
        <v>156670</v>
      </c>
      <c r="Q334" s="48"/>
      <c r="R334" s="38"/>
      <c r="S334" s="38"/>
      <c r="T334" s="38"/>
      <c r="U334" s="32"/>
      <c r="V334" s="32"/>
      <c r="W334" s="32"/>
      <c r="X334" s="32"/>
    </row>
    <row r="335" spans="1:24" ht="15.75" customHeight="1" x14ac:dyDescent="0.25">
      <c r="A335" s="13" t="s">
        <v>45</v>
      </c>
      <c r="B335" s="33">
        <v>10</v>
      </c>
      <c r="C335" s="33">
        <v>10</v>
      </c>
      <c r="D335" s="33">
        <v>10</v>
      </c>
      <c r="E335" s="33">
        <v>8</v>
      </c>
      <c r="F335" s="33">
        <v>8</v>
      </c>
      <c r="G335" s="33">
        <v>7.6</v>
      </c>
      <c r="H335" s="33">
        <v>7</v>
      </c>
      <c r="I335" s="33">
        <v>7</v>
      </c>
      <c r="J335" s="33">
        <v>7.04</v>
      </c>
      <c r="K335" s="49">
        <v>5.16</v>
      </c>
      <c r="L335" s="33">
        <v>5.2</v>
      </c>
      <c r="M335" s="33">
        <v>4.92</v>
      </c>
      <c r="N335" s="32"/>
      <c r="O335" s="33"/>
      <c r="P335" s="33"/>
      <c r="Q335" s="48"/>
      <c r="R335" s="38"/>
      <c r="S335" s="38"/>
      <c r="T335" s="38"/>
      <c r="U335" s="32"/>
      <c r="V335" s="32"/>
      <c r="W335" s="32"/>
      <c r="X335" s="32"/>
    </row>
    <row r="336" spans="1:24" ht="15.75" customHeight="1" x14ac:dyDescent="0.25">
      <c r="A336" s="16" t="s">
        <v>5</v>
      </c>
      <c r="B336" s="36">
        <v>497069</v>
      </c>
      <c r="C336" s="36">
        <v>457911.5</v>
      </c>
      <c r="D336" s="36">
        <v>403670</v>
      </c>
      <c r="E336" s="36">
        <v>337932</v>
      </c>
      <c r="F336" s="36">
        <v>392329.5</v>
      </c>
      <c r="G336" s="36">
        <v>302933</v>
      </c>
      <c r="H336" s="36">
        <v>219394.5</v>
      </c>
      <c r="I336" s="36">
        <v>320529.5</v>
      </c>
      <c r="J336" s="36">
        <v>326758.5</v>
      </c>
      <c r="K336" s="50">
        <v>389626</v>
      </c>
      <c r="L336" s="36">
        <v>262888</v>
      </c>
      <c r="M336" s="36">
        <v>168488</v>
      </c>
      <c r="N336" s="32"/>
      <c r="O336" s="36">
        <f>SUM(B336:M336)</f>
        <v>4079529.5</v>
      </c>
      <c r="P336" s="36">
        <f>P24+P50+P76+P102+P128+P154+P180+P206+P232+P258+P284+P310</f>
        <v>34593304.5</v>
      </c>
      <c r="Q336" s="48"/>
      <c r="R336" s="38"/>
      <c r="S336" s="38"/>
      <c r="T336" s="38"/>
      <c r="U336" s="32"/>
      <c r="V336" s="32"/>
      <c r="W336" s="32"/>
      <c r="X336" s="32"/>
    </row>
    <row r="337" spans="1:24" ht="15.75" customHeight="1" x14ac:dyDescent="0.25">
      <c r="A337" s="16" t="s">
        <v>6</v>
      </c>
      <c r="B337" s="36">
        <v>228651.74000000002</v>
      </c>
      <c r="C337" s="36">
        <v>219797.52000000002</v>
      </c>
      <c r="D337" s="36">
        <v>193761.6</v>
      </c>
      <c r="E337" s="36">
        <v>162207.35999999999</v>
      </c>
      <c r="F337" s="36">
        <v>188318.15999999997</v>
      </c>
      <c r="G337" s="36">
        <v>145407.84</v>
      </c>
      <c r="H337" s="36">
        <v>105309.36</v>
      </c>
      <c r="I337" s="36">
        <v>153854.16</v>
      </c>
      <c r="J337" s="36">
        <v>156844.07999999999</v>
      </c>
      <c r="K337" s="50">
        <v>187020.47999999998</v>
      </c>
      <c r="L337" s="36">
        <v>126186.23999999999</v>
      </c>
      <c r="M337" s="36">
        <v>80874.240000000005</v>
      </c>
      <c r="N337" s="32"/>
      <c r="O337" s="36">
        <f>SUM(B337:M337)</f>
        <v>1948232.78</v>
      </c>
      <c r="P337" s="36">
        <f>P25+P51+P77+P103+P129+P155+P181+P207+P233+P259+P285+P311</f>
        <v>16068307.780000001</v>
      </c>
      <c r="Q337" s="48"/>
      <c r="R337" s="38"/>
      <c r="S337" s="38"/>
      <c r="T337" s="38"/>
      <c r="U337" s="32"/>
      <c r="V337" s="32"/>
      <c r="W337" s="32"/>
      <c r="X337" s="32"/>
    </row>
    <row r="338" spans="1:24" ht="15.75" customHeight="1" x14ac:dyDescent="0.25">
      <c r="A338" s="16" t="s">
        <v>7</v>
      </c>
      <c r="B338" s="36">
        <v>9941.380000000001</v>
      </c>
      <c r="C338" s="36">
        <v>9158.23</v>
      </c>
      <c r="D338" s="36">
        <v>8073.4000000000005</v>
      </c>
      <c r="E338" s="36">
        <v>6758.64</v>
      </c>
      <c r="F338" s="36">
        <v>7846.5899999999992</v>
      </c>
      <c r="G338" s="36">
        <v>6058.66</v>
      </c>
      <c r="H338" s="36">
        <v>4387.8900000000003</v>
      </c>
      <c r="I338" s="36">
        <v>6410.59</v>
      </c>
      <c r="J338" s="36">
        <v>6535.17</v>
      </c>
      <c r="K338" s="50">
        <v>7792.52</v>
      </c>
      <c r="L338" s="36">
        <v>5257.76</v>
      </c>
      <c r="M338" s="36">
        <v>3369.76</v>
      </c>
      <c r="N338" s="32"/>
      <c r="O338" s="36">
        <f>SUM(B338:M338)</f>
        <v>81590.589999999982</v>
      </c>
      <c r="P338" s="36">
        <f>P26+P52+P78+P104+P130+P156+P182+P208+P234+P260+P286+P312</f>
        <v>691867.59</v>
      </c>
      <c r="Q338" s="48"/>
      <c r="R338" s="38"/>
      <c r="S338" s="38"/>
      <c r="T338" s="38"/>
      <c r="U338" s="32"/>
      <c r="V338" s="32"/>
      <c r="W338" s="32"/>
      <c r="X338" s="32"/>
    </row>
    <row r="339" spans="1:24" ht="15.75" customHeight="1" x14ac:dyDescent="0.25">
      <c r="A339" s="21" t="s">
        <v>11</v>
      </c>
      <c r="B339" s="33">
        <v>43</v>
      </c>
      <c r="C339" s="33">
        <v>43</v>
      </c>
      <c r="D339" s="33">
        <v>46</v>
      </c>
      <c r="E339" s="33">
        <v>46</v>
      </c>
      <c r="F339" s="33">
        <v>46</v>
      </c>
      <c r="G339" s="33">
        <v>51</v>
      </c>
      <c r="H339" s="33">
        <v>51.8</v>
      </c>
      <c r="I339" s="33">
        <v>53</v>
      </c>
      <c r="J339" s="33">
        <v>53.52</v>
      </c>
      <c r="K339" s="49">
        <v>55.44</v>
      </c>
      <c r="L339" s="33">
        <v>55</v>
      </c>
      <c r="M339" s="33">
        <v>57.44</v>
      </c>
      <c r="N339" s="32"/>
      <c r="O339" s="36"/>
      <c r="P339" s="36"/>
      <c r="Q339" s="32"/>
      <c r="R339" s="38"/>
      <c r="S339" s="38"/>
      <c r="T339" s="38"/>
      <c r="U339" s="32"/>
      <c r="V339" s="32"/>
      <c r="W339" s="32"/>
      <c r="X339" s="32"/>
    </row>
    <row r="340" spans="1:24" ht="15.75" customHeight="1" x14ac:dyDescent="0.25">
      <c r="A340" s="22" t="s">
        <v>5</v>
      </c>
      <c r="B340" s="36">
        <v>1164949.96</v>
      </c>
      <c r="C340" s="36">
        <v>1145319.5000000002</v>
      </c>
      <c r="D340" s="36">
        <v>1326664.03</v>
      </c>
      <c r="E340" s="36">
        <v>1416810.38</v>
      </c>
      <c r="F340" s="36">
        <v>1173150.3900000001</v>
      </c>
      <c r="G340" s="36">
        <v>1305193.04</v>
      </c>
      <c r="H340" s="36">
        <v>1402815.82</v>
      </c>
      <c r="I340" s="36">
        <v>1783463.6600000004</v>
      </c>
      <c r="J340" s="36">
        <v>1685561.69</v>
      </c>
      <c r="K340" s="50">
        <v>1520117.5</v>
      </c>
      <c r="L340" s="36">
        <v>1368274.19</v>
      </c>
      <c r="M340" s="36">
        <v>1518754.56</v>
      </c>
      <c r="N340" s="32"/>
      <c r="O340" s="36">
        <f>SUM(B340:M340)</f>
        <v>16811074.719999999</v>
      </c>
      <c r="P340" s="36">
        <f>P54+P80+P28+P210+P158+P262+P184</f>
        <v>21588338.720000006</v>
      </c>
      <c r="Q340" s="38"/>
      <c r="R340" s="38"/>
      <c r="S340" s="38"/>
      <c r="T340" s="38"/>
      <c r="U340" s="32"/>
      <c r="V340" s="32"/>
      <c r="W340" s="32"/>
      <c r="X340" s="32"/>
    </row>
    <row r="341" spans="1:24" ht="15.75" customHeight="1" x14ac:dyDescent="0.25">
      <c r="A341" s="16" t="s">
        <v>6</v>
      </c>
      <c r="B341" s="36">
        <v>139793.99</v>
      </c>
      <c r="C341" s="36">
        <v>160344.74</v>
      </c>
      <c r="D341" s="36">
        <v>185732.95</v>
      </c>
      <c r="E341" s="36">
        <v>198353.49</v>
      </c>
      <c r="F341" s="36">
        <v>164241.07</v>
      </c>
      <c r="G341" s="36">
        <v>182727.01999999996</v>
      </c>
      <c r="H341" s="36">
        <v>196394.22999999998</v>
      </c>
      <c r="I341" s="36">
        <v>249684.91000000003</v>
      </c>
      <c r="J341" s="36">
        <v>235978.68</v>
      </c>
      <c r="K341" s="50">
        <v>212816.45</v>
      </c>
      <c r="L341" s="36">
        <v>191558.41</v>
      </c>
      <c r="M341" s="36">
        <v>212625.61000000002</v>
      </c>
      <c r="N341" s="32"/>
      <c r="O341" s="36">
        <f>SUM(B341:M341)</f>
        <v>2330251.5499999998</v>
      </c>
      <c r="P341" s="36">
        <f>P55+P81+P29+P211+P159+P263+P185</f>
        <v>2903522.5500000003</v>
      </c>
      <c r="Q341" s="38"/>
      <c r="R341" s="38"/>
      <c r="S341" s="38"/>
      <c r="T341" s="38"/>
      <c r="U341" s="32"/>
      <c r="V341" s="32"/>
      <c r="W341" s="32"/>
      <c r="X341" s="32"/>
    </row>
    <row r="342" spans="1:24" ht="15.75" customHeight="1" x14ac:dyDescent="0.25">
      <c r="A342" s="22" t="s">
        <v>7</v>
      </c>
      <c r="B342" s="36">
        <v>23299</v>
      </c>
      <c r="C342" s="36">
        <v>22906.38</v>
      </c>
      <c r="D342" s="36">
        <v>26533.29</v>
      </c>
      <c r="E342" s="36">
        <v>28336.180000000004</v>
      </c>
      <c r="F342" s="36">
        <v>23463.03</v>
      </c>
      <c r="G342" s="36">
        <v>26103.870000000003</v>
      </c>
      <c r="H342" s="36">
        <v>28056.329999999998</v>
      </c>
      <c r="I342" s="36">
        <v>35669.29</v>
      </c>
      <c r="J342" s="36">
        <v>33711.229999999996</v>
      </c>
      <c r="K342" s="50">
        <v>30402.340000000004</v>
      </c>
      <c r="L342" s="36">
        <v>27365.460000000003</v>
      </c>
      <c r="M342" s="36">
        <v>30375.15</v>
      </c>
      <c r="N342" s="32"/>
      <c r="O342" s="36">
        <f>SUM(B342:M342)</f>
        <v>336221.5500000001</v>
      </c>
      <c r="P342" s="36">
        <f>P56+P82+P30+P212+P160+P264+P186</f>
        <v>431767.55</v>
      </c>
      <c r="Q342" s="38"/>
      <c r="R342" s="38"/>
      <c r="S342" s="38"/>
      <c r="T342" s="38"/>
      <c r="U342" s="32"/>
      <c r="V342" s="32"/>
      <c r="W342" s="32"/>
      <c r="X342" s="32"/>
    </row>
    <row r="343" spans="1:24" ht="20.25" customHeight="1" x14ac:dyDescent="0.25">
      <c r="A343" s="13"/>
      <c r="B343" s="36"/>
      <c r="C343" s="33"/>
      <c r="D343" s="33"/>
      <c r="E343" s="33"/>
      <c r="F343" s="33"/>
      <c r="G343" s="36"/>
      <c r="H343" s="32"/>
      <c r="I343" s="36"/>
      <c r="J343" s="36"/>
      <c r="K343" s="36"/>
      <c r="L343" s="36"/>
      <c r="M343" s="36"/>
      <c r="N343" s="32"/>
      <c r="O343" s="36"/>
      <c r="P343" s="36"/>
      <c r="Q343" s="32"/>
      <c r="R343" s="32"/>
      <c r="S343" s="32"/>
      <c r="T343" s="38"/>
      <c r="U343" s="32"/>
      <c r="V343" s="32"/>
      <c r="W343" s="32"/>
      <c r="X343" s="32"/>
    </row>
    <row r="344" spans="1:24" ht="20.25" customHeight="1" x14ac:dyDescent="0.25">
      <c r="A344" s="16"/>
      <c r="B344" s="36"/>
      <c r="C344" s="36"/>
      <c r="D344" s="36"/>
      <c r="E344" s="36"/>
      <c r="F344" s="36"/>
      <c r="G344" s="36"/>
      <c r="H344" s="32"/>
      <c r="I344" s="36"/>
      <c r="J344" s="36"/>
      <c r="K344" s="36"/>
      <c r="L344" s="36"/>
      <c r="M344" s="36"/>
      <c r="N344" s="32"/>
      <c r="O344" s="36"/>
      <c r="P344" s="36"/>
      <c r="Q344" s="32"/>
      <c r="R344" s="32"/>
      <c r="S344" s="32"/>
      <c r="T344" s="38"/>
      <c r="U344" s="32"/>
      <c r="V344" s="32"/>
      <c r="W344" s="32"/>
      <c r="X344" s="32"/>
    </row>
    <row r="345" spans="1:24" ht="20.25" customHeight="1" x14ac:dyDescent="0.25">
      <c r="A345" s="16"/>
      <c r="B345" s="36"/>
      <c r="C345" s="36"/>
      <c r="D345" s="36"/>
      <c r="E345" s="36"/>
      <c r="F345" s="36"/>
      <c r="G345" s="36"/>
      <c r="H345" s="32"/>
      <c r="I345" s="33"/>
      <c r="J345" s="33"/>
      <c r="K345" s="36"/>
      <c r="L345" s="36"/>
      <c r="M345" s="36"/>
      <c r="N345" s="32"/>
      <c r="O345" s="36"/>
      <c r="P345" s="36"/>
      <c r="Q345" s="32"/>
      <c r="R345" s="32"/>
      <c r="S345" s="32"/>
      <c r="T345" s="38"/>
      <c r="U345" s="32"/>
      <c r="V345" s="32"/>
      <c r="W345" s="32"/>
      <c r="X345" s="32"/>
    </row>
    <row r="346" spans="1:24" ht="20.25" customHeight="1" x14ac:dyDescent="0.25">
      <c r="A346" s="16"/>
      <c r="B346" s="36"/>
      <c r="C346" s="36"/>
      <c r="D346" s="36"/>
      <c r="E346" s="36"/>
      <c r="F346" s="36"/>
      <c r="G346" s="36"/>
      <c r="H346" s="32"/>
      <c r="I346" s="36"/>
      <c r="J346" s="36"/>
      <c r="K346" s="33"/>
      <c r="L346" s="33"/>
      <c r="M346" s="36"/>
      <c r="N346" s="32"/>
      <c r="O346" s="36"/>
      <c r="P346" s="36"/>
      <c r="Q346" s="32"/>
      <c r="R346" s="32"/>
      <c r="S346" s="32"/>
      <c r="T346" s="38"/>
      <c r="U346" s="32"/>
      <c r="V346" s="32"/>
      <c r="W346" s="32"/>
      <c r="X346" s="32"/>
    </row>
    <row r="347" spans="1:24" ht="20.25" customHeight="1" x14ac:dyDescent="0.25">
      <c r="A347" s="13"/>
      <c r="B347" s="36"/>
      <c r="C347" s="36"/>
      <c r="D347" s="36"/>
      <c r="E347" s="36"/>
      <c r="F347" s="36"/>
      <c r="G347" s="36"/>
      <c r="H347" s="32"/>
      <c r="I347" s="36"/>
      <c r="J347" s="36"/>
      <c r="K347" s="36"/>
      <c r="L347" s="36"/>
      <c r="M347" s="36"/>
      <c r="N347" s="32"/>
      <c r="O347" s="36"/>
      <c r="P347" s="36"/>
      <c r="Q347" s="32"/>
      <c r="R347" s="32"/>
      <c r="S347" s="32"/>
      <c r="T347" s="38"/>
      <c r="U347" s="32"/>
      <c r="V347" s="32"/>
      <c r="W347" s="32"/>
      <c r="X347" s="32"/>
    </row>
    <row r="348" spans="1:24" ht="20.25" customHeight="1" x14ac:dyDescent="0.25">
      <c r="A348" s="16"/>
      <c r="B348" s="36"/>
      <c r="C348" s="36"/>
      <c r="D348" s="36"/>
      <c r="E348" s="36"/>
      <c r="F348" s="36"/>
      <c r="G348" s="36"/>
      <c r="H348" s="32"/>
      <c r="I348" s="36"/>
      <c r="J348" s="36"/>
      <c r="K348" s="36"/>
      <c r="L348" s="36"/>
      <c r="M348" s="36"/>
      <c r="N348" s="32"/>
      <c r="O348" s="36"/>
      <c r="P348" s="36"/>
      <c r="Q348" s="32"/>
      <c r="R348" s="32"/>
      <c r="S348" s="32"/>
      <c r="T348" s="38"/>
      <c r="U348" s="32"/>
      <c r="V348" s="32"/>
      <c r="W348" s="32"/>
      <c r="X348" s="32"/>
    </row>
    <row r="349" spans="1:24" ht="20.25" customHeight="1" x14ac:dyDescent="0.25">
      <c r="A349" s="16"/>
      <c r="B349" s="36"/>
      <c r="C349" s="36"/>
      <c r="D349" s="36"/>
      <c r="E349" s="36"/>
      <c r="F349" s="36"/>
      <c r="G349" s="36"/>
      <c r="H349" s="32"/>
      <c r="I349" s="32"/>
      <c r="J349" s="32"/>
      <c r="K349" s="36"/>
      <c r="L349" s="36"/>
      <c r="M349" s="36"/>
      <c r="N349" s="32"/>
      <c r="O349" s="36"/>
      <c r="P349" s="36"/>
      <c r="Q349" s="32"/>
      <c r="R349" s="32"/>
      <c r="S349" s="32"/>
      <c r="T349" s="38"/>
      <c r="U349" s="32"/>
      <c r="V349" s="32"/>
      <c r="W349" s="32"/>
      <c r="X349" s="32"/>
    </row>
    <row r="350" spans="1:24" ht="20.25" customHeight="1" x14ac:dyDescent="0.25">
      <c r="A350" s="16"/>
      <c r="B350" s="36"/>
      <c r="C350" s="36"/>
      <c r="D350" s="36"/>
      <c r="E350" s="36"/>
      <c r="F350" s="36"/>
      <c r="G350" s="36"/>
      <c r="H350" s="32"/>
      <c r="I350" s="32"/>
      <c r="J350" s="32"/>
      <c r="K350" s="32"/>
      <c r="L350" s="32"/>
      <c r="M350" s="36"/>
      <c r="N350" s="32"/>
      <c r="O350" s="36"/>
      <c r="P350" s="36"/>
      <c r="Q350" s="32"/>
      <c r="R350" s="32"/>
      <c r="S350" s="32"/>
      <c r="T350" s="38"/>
      <c r="U350" s="32"/>
      <c r="V350" s="32"/>
      <c r="W350" s="32"/>
      <c r="X350" s="32"/>
    </row>
    <row r="351" spans="1:24" ht="20.25" customHeight="1" x14ac:dyDescent="0.25">
      <c r="A351" s="13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6"/>
      <c r="N351" s="32"/>
      <c r="O351" s="32"/>
      <c r="P351" s="32"/>
      <c r="Q351" s="32"/>
      <c r="R351" s="32"/>
      <c r="S351" s="32"/>
      <c r="T351" s="38"/>
      <c r="U351" s="32"/>
      <c r="V351" s="32"/>
      <c r="W351" s="32"/>
      <c r="X351" s="32"/>
    </row>
    <row r="352" spans="1:24" ht="20.25" customHeight="1" x14ac:dyDescent="0.25">
      <c r="A352" s="16"/>
      <c r="B352" s="36"/>
      <c r="C352" s="36"/>
      <c r="D352" s="36"/>
      <c r="E352" s="36"/>
      <c r="F352" s="36"/>
      <c r="G352" s="36"/>
      <c r="H352" s="38"/>
      <c r="I352" s="32"/>
      <c r="J352" s="32"/>
      <c r="K352" s="32"/>
      <c r="L352" s="32"/>
      <c r="M352" s="36"/>
      <c r="N352" s="32"/>
      <c r="O352" s="36"/>
      <c r="P352" s="36"/>
      <c r="Q352" s="32"/>
      <c r="R352" s="32"/>
      <c r="S352" s="32"/>
      <c r="T352" s="38"/>
      <c r="U352" s="32"/>
      <c r="V352" s="32"/>
      <c r="W352" s="32"/>
      <c r="X352" s="32"/>
    </row>
    <row r="353" spans="1:24" ht="20.25" customHeight="1" x14ac:dyDescent="0.25">
      <c r="A353" s="16"/>
      <c r="B353" s="36"/>
      <c r="C353" s="36"/>
      <c r="D353" s="36"/>
      <c r="E353" s="36"/>
      <c r="F353" s="36"/>
      <c r="G353" s="36"/>
      <c r="H353" s="32"/>
      <c r="I353" s="32"/>
      <c r="J353" s="32"/>
      <c r="K353" s="32"/>
      <c r="L353" s="32"/>
      <c r="M353" s="36"/>
      <c r="N353" s="32"/>
      <c r="O353" s="36"/>
      <c r="P353" s="36"/>
      <c r="Q353" s="32"/>
      <c r="R353" s="32"/>
      <c r="S353" s="32"/>
      <c r="T353" s="38"/>
      <c r="U353" s="32"/>
      <c r="V353" s="32"/>
      <c r="W353" s="32"/>
      <c r="X353" s="32"/>
    </row>
    <row r="354" spans="1:24" ht="20.25" customHeight="1" x14ac:dyDescent="0.25">
      <c r="A354" s="16"/>
      <c r="B354" s="36"/>
      <c r="C354" s="36"/>
      <c r="D354" s="36"/>
      <c r="E354" s="36"/>
      <c r="F354" s="36"/>
      <c r="G354" s="36"/>
      <c r="H354" s="32"/>
      <c r="I354" s="32"/>
      <c r="J354" s="32"/>
      <c r="K354" s="32"/>
      <c r="L354" s="32"/>
      <c r="M354" s="36"/>
      <c r="N354" s="32"/>
      <c r="O354" s="36"/>
      <c r="P354" s="36"/>
      <c r="Q354" s="32"/>
      <c r="R354" s="32"/>
      <c r="S354" s="32"/>
      <c r="T354" s="38"/>
      <c r="U354" s="32"/>
      <c r="V354" s="32"/>
      <c r="W354" s="32"/>
      <c r="X354" s="32"/>
    </row>
    <row r="355" spans="1:24" ht="20.25" customHeight="1" x14ac:dyDescent="0.25">
      <c r="A355" s="13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6"/>
      <c r="N355" s="32"/>
      <c r="O355" s="32"/>
      <c r="P355" s="32"/>
      <c r="Q355" s="32"/>
      <c r="R355" s="32"/>
      <c r="S355" s="32"/>
      <c r="T355" s="38"/>
      <c r="U355" s="32"/>
      <c r="V355" s="32"/>
      <c r="W355" s="32"/>
      <c r="X355" s="32"/>
    </row>
    <row r="356" spans="1:24" ht="20.25" customHeight="1" x14ac:dyDescent="0.25">
      <c r="A356" s="16"/>
      <c r="B356" s="36"/>
      <c r="C356" s="36"/>
      <c r="D356" s="36"/>
      <c r="E356" s="36"/>
      <c r="F356" s="36"/>
      <c r="G356" s="36"/>
      <c r="H356" s="32"/>
      <c r="I356" s="32"/>
      <c r="J356" s="32"/>
      <c r="K356" s="32"/>
      <c r="L356" s="32"/>
      <c r="M356" s="36"/>
      <c r="N356" s="32"/>
      <c r="O356" s="36"/>
      <c r="P356" s="36"/>
      <c r="Q356" s="32"/>
      <c r="R356" s="32"/>
      <c r="S356" s="32"/>
      <c r="T356" s="38"/>
      <c r="U356" s="32"/>
      <c r="V356" s="32"/>
      <c r="W356" s="32"/>
      <c r="X356" s="32"/>
    </row>
    <row r="357" spans="1:24" ht="20.25" customHeight="1" x14ac:dyDescent="0.25">
      <c r="A357" s="16"/>
      <c r="B357" s="36"/>
      <c r="C357" s="36"/>
      <c r="D357" s="36"/>
      <c r="E357" s="36"/>
      <c r="F357" s="36"/>
      <c r="G357" s="36"/>
      <c r="H357" s="32"/>
      <c r="I357" s="32"/>
      <c r="J357" s="32"/>
      <c r="K357" s="32"/>
      <c r="L357" s="32"/>
      <c r="M357" s="36"/>
      <c r="N357" s="32"/>
      <c r="O357" s="36"/>
      <c r="P357" s="36"/>
      <c r="Q357" s="32"/>
      <c r="R357" s="32"/>
      <c r="S357" s="32"/>
      <c r="T357" s="38"/>
      <c r="U357" s="32"/>
      <c r="V357" s="32"/>
      <c r="W357" s="32"/>
      <c r="X357" s="32"/>
    </row>
    <row r="358" spans="1:24" ht="20.25" customHeight="1" x14ac:dyDescent="0.25">
      <c r="A358" s="16"/>
      <c r="B358" s="17"/>
      <c r="C358" s="17"/>
      <c r="D358" s="17"/>
      <c r="E358" s="17"/>
      <c r="F358" s="17"/>
      <c r="G358" s="17"/>
      <c r="I358" s="3"/>
      <c r="M358" s="17"/>
      <c r="O358" s="17"/>
      <c r="P358" s="17"/>
      <c r="T358" s="38"/>
    </row>
    <row r="359" spans="1:24" ht="20.25" customHeight="1" x14ac:dyDescent="0.25">
      <c r="A359" s="13"/>
      <c r="I359" s="3"/>
      <c r="M359" s="17"/>
      <c r="T359" s="38"/>
    </row>
    <row r="360" spans="1:24" ht="20.25" customHeight="1" x14ac:dyDescent="0.25">
      <c r="A360" s="16"/>
      <c r="B360" s="17"/>
      <c r="C360" s="17"/>
      <c r="D360" s="17"/>
      <c r="E360" s="17"/>
      <c r="F360" s="17"/>
      <c r="G360" s="17"/>
      <c r="I360" s="3"/>
      <c r="M360" s="17"/>
      <c r="O360" s="17"/>
      <c r="P360" s="17"/>
      <c r="T360" s="38"/>
    </row>
    <row r="361" spans="1:24" ht="20.25" customHeight="1" x14ac:dyDescent="0.25">
      <c r="A361" s="16"/>
      <c r="B361" s="17"/>
      <c r="C361" s="17"/>
      <c r="D361" s="17"/>
      <c r="E361" s="17"/>
      <c r="F361" s="17"/>
      <c r="G361" s="17"/>
      <c r="I361" s="3"/>
      <c r="M361" s="17"/>
      <c r="O361" s="17"/>
      <c r="P361" s="17"/>
    </row>
    <row r="362" spans="1:24" ht="20.25" customHeight="1" x14ac:dyDescent="0.25">
      <c r="A362" s="16"/>
      <c r="B362" s="17"/>
      <c r="C362" s="17"/>
      <c r="D362" s="17"/>
      <c r="E362" s="17"/>
      <c r="F362" s="17"/>
      <c r="G362" s="17"/>
      <c r="I362" s="3"/>
      <c r="M362" s="17"/>
      <c r="O362" s="17"/>
      <c r="P362" s="17"/>
    </row>
    <row r="363" spans="1:24" ht="20.25" customHeight="1" x14ac:dyDescent="0.25">
      <c r="A363" s="21"/>
      <c r="I363" s="3"/>
      <c r="M363" s="17"/>
    </row>
    <row r="364" spans="1:24" ht="20.25" customHeight="1" x14ac:dyDescent="0.25">
      <c r="A364" s="22"/>
      <c r="B364" s="17"/>
      <c r="C364" s="17"/>
      <c r="D364" s="17"/>
      <c r="E364" s="17"/>
      <c r="F364" s="17"/>
      <c r="G364" s="17"/>
      <c r="I364" s="3"/>
      <c r="M364" s="17"/>
      <c r="O364" s="17"/>
      <c r="P364" s="17"/>
    </row>
    <row r="365" spans="1:24" ht="20.25" customHeight="1" x14ac:dyDescent="0.25">
      <c r="A365" s="22"/>
      <c r="B365" s="17"/>
      <c r="C365" s="17"/>
      <c r="D365" s="17"/>
      <c r="E365" s="17"/>
      <c r="F365" s="17"/>
      <c r="G365" s="17"/>
      <c r="I365" s="3"/>
      <c r="M365" s="17"/>
      <c r="O365" s="17"/>
      <c r="P365" s="17"/>
    </row>
    <row r="366" spans="1:24" ht="20.25" customHeight="1" x14ac:dyDescent="0.25">
      <c r="A366" s="22"/>
      <c r="B366" s="17"/>
      <c r="C366" s="17"/>
      <c r="D366" s="17"/>
      <c r="E366" s="17"/>
      <c r="F366" s="17"/>
      <c r="G366" s="17"/>
      <c r="H366" s="12"/>
      <c r="I366" s="12"/>
      <c r="J366" s="12"/>
      <c r="M366" s="17"/>
      <c r="O366" s="17"/>
      <c r="P366" s="17"/>
    </row>
    <row r="367" spans="1:24" ht="20.25" customHeight="1" x14ac:dyDescent="0.25">
      <c r="B367" s="14"/>
      <c r="E367" s="17"/>
      <c r="F367" s="27"/>
      <c r="H367" s="14"/>
      <c r="I367" s="14"/>
      <c r="J367" s="14"/>
    </row>
    <row r="368" spans="1:24" ht="20.25" customHeight="1" x14ac:dyDescent="0.25">
      <c r="B368" s="17"/>
      <c r="F368" s="27"/>
      <c r="H368" s="17"/>
      <c r="I368" s="17"/>
      <c r="J368" s="17"/>
    </row>
    <row r="369" spans="2:15" ht="20.25" customHeight="1" x14ac:dyDescent="0.25">
      <c r="B369" s="17"/>
      <c r="C369" s="17"/>
      <c r="D369" s="17"/>
      <c r="E369" s="17"/>
      <c r="F369" s="17"/>
      <c r="G369" s="17"/>
      <c r="H369" s="17"/>
      <c r="I369" s="17"/>
      <c r="J369" s="17"/>
      <c r="O369" s="17"/>
    </row>
    <row r="370" spans="2:15" ht="20.25" customHeight="1" x14ac:dyDescent="0.25">
      <c r="B370" s="17"/>
      <c r="C370" s="17"/>
      <c r="D370" s="17"/>
      <c r="E370" s="17"/>
      <c r="F370" s="17"/>
      <c r="G370" s="17"/>
      <c r="H370" s="17"/>
      <c r="I370" s="17"/>
      <c r="J370" s="17"/>
      <c r="O370" s="17"/>
    </row>
    <row r="371" spans="2:15" ht="20.25" customHeight="1" x14ac:dyDescent="0.25">
      <c r="B371" s="24"/>
      <c r="C371" s="24"/>
      <c r="D371" s="24"/>
      <c r="E371" s="24"/>
      <c r="F371" s="24"/>
      <c r="G371" s="17"/>
      <c r="H371" s="14"/>
      <c r="I371" s="14"/>
      <c r="J371" s="14"/>
      <c r="O371" s="24"/>
    </row>
    <row r="372" spans="2:15" ht="20.25" customHeight="1" x14ac:dyDescent="0.25">
      <c r="F372" s="27"/>
      <c r="H372" s="17"/>
      <c r="I372" s="17"/>
      <c r="J372" s="17"/>
    </row>
    <row r="373" spans="2:15" ht="20.25" customHeight="1" x14ac:dyDescent="0.25">
      <c r="B373" s="17"/>
      <c r="C373" s="17"/>
      <c r="D373" s="17"/>
      <c r="E373" s="17"/>
      <c r="F373" s="17"/>
      <c r="G373" s="17"/>
      <c r="H373" s="17"/>
      <c r="I373" s="17"/>
      <c r="J373" s="17"/>
    </row>
    <row r="374" spans="2:15" ht="20.25" customHeight="1" x14ac:dyDescent="0.25">
      <c r="B374" s="17"/>
      <c r="C374" s="17"/>
      <c r="D374" s="17"/>
      <c r="E374" s="17"/>
      <c r="F374" s="17"/>
      <c r="G374" s="17"/>
      <c r="H374" s="17"/>
      <c r="I374" s="17"/>
      <c r="J374" s="17"/>
    </row>
    <row r="375" spans="2:15" ht="20.25" customHeight="1" x14ac:dyDescent="0.25">
      <c r="B375" s="17"/>
      <c r="C375" s="17"/>
      <c r="D375" s="17"/>
      <c r="E375" s="17"/>
      <c r="F375" s="17"/>
      <c r="G375" s="17"/>
      <c r="H375" s="14"/>
      <c r="I375" s="14"/>
      <c r="J375" s="14"/>
    </row>
    <row r="376" spans="2:15" ht="20.25" customHeight="1" x14ac:dyDescent="0.25">
      <c r="F376" s="27"/>
      <c r="H376" s="17"/>
      <c r="I376" s="17"/>
      <c r="J376" s="17"/>
    </row>
    <row r="377" spans="2:15" ht="20.25" customHeight="1" x14ac:dyDescent="0.25">
      <c r="B377" s="17"/>
      <c r="C377" s="17"/>
      <c r="D377" s="17"/>
      <c r="E377" s="17"/>
      <c r="F377" s="17"/>
      <c r="G377" s="17"/>
      <c r="H377" s="17"/>
      <c r="I377" s="17"/>
      <c r="J377" s="17"/>
    </row>
    <row r="378" spans="2:15" ht="20.25" customHeight="1" x14ac:dyDescent="0.25">
      <c r="B378" s="17"/>
      <c r="C378" s="17"/>
      <c r="D378" s="17"/>
      <c r="E378" s="17"/>
      <c r="F378" s="17"/>
      <c r="G378" s="17"/>
      <c r="H378" s="17"/>
      <c r="I378" s="17"/>
      <c r="J378" s="17"/>
    </row>
    <row r="379" spans="2:15" ht="20.25" customHeight="1" x14ac:dyDescent="0.25">
      <c r="B379" s="17"/>
      <c r="C379" s="17"/>
      <c r="D379" s="17"/>
      <c r="E379" s="17"/>
      <c r="F379" s="17"/>
      <c r="G379" s="17"/>
      <c r="H379" s="14"/>
      <c r="I379" s="14"/>
      <c r="J379" s="14"/>
    </row>
    <row r="380" spans="2:15" ht="20.25" customHeight="1" x14ac:dyDescent="0.25">
      <c r="F380" s="27"/>
      <c r="H380" s="17"/>
      <c r="I380" s="17"/>
      <c r="J380" s="17"/>
    </row>
    <row r="381" spans="2:15" ht="20.25" customHeight="1" x14ac:dyDescent="0.25">
      <c r="B381" s="17"/>
      <c r="C381" s="17"/>
      <c r="D381" s="17"/>
      <c r="E381" s="17"/>
      <c r="F381" s="17"/>
      <c r="G381" s="17"/>
      <c r="H381" s="17"/>
      <c r="I381" s="17"/>
      <c r="J381" s="17"/>
    </row>
    <row r="382" spans="2:15" ht="20.25" customHeight="1" x14ac:dyDescent="0.25">
      <c r="B382" s="17"/>
      <c r="C382" s="17"/>
      <c r="D382" s="17"/>
      <c r="E382" s="17"/>
      <c r="F382" s="17"/>
      <c r="G382" s="17"/>
      <c r="H382" s="17"/>
      <c r="I382" s="17"/>
      <c r="J382" s="17"/>
    </row>
    <row r="383" spans="2:15" ht="20.25" customHeight="1" x14ac:dyDescent="0.25">
      <c r="B383" s="17"/>
      <c r="C383" s="17"/>
      <c r="D383" s="17"/>
      <c r="E383" s="17"/>
      <c r="F383" s="17"/>
      <c r="G383" s="17"/>
      <c r="H383" s="14"/>
      <c r="I383" s="14"/>
      <c r="J383" s="14"/>
    </row>
    <row r="384" spans="2:15" ht="20.25" customHeight="1" x14ac:dyDescent="0.25">
      <c r="F384" s="27"/>
      <c r="H384" s="17"/>
      <c r="I384" s="17"/>
      <c r="J384" s="17"/>
    </row>
    <row r="385" spans="2:9" ht="20.25" customHeight="1" x14ac:dyDescent="0.25">
      <c r="B385" s="17"/>
      <c r="C385" s="17"/>
      <c r="D385" s="17"/>
      <c r="E385" s="17"/>
      <c r="F385" s="17"/>
      <c r="G385" s="17"/>
    </row>
    <row r="386" spans="2:9" ht="20.25" customHeight="1" x14ac:dyDescent="0.25">
      <c r="B386" s="17"/>
      <c r="C386" s="17"/>
      <c r="D386" s="17"/>
      <c r="E386" s="17"/>
      <c r="F386" s="17"/>
      <c r="G386" s="17"/>
    </row>
    <row r="387" spans="2:9" ht="20.25" customHeight="1" x14ac:dyDescent="0.25">
      <c r="B387" s="17"/>
      <c r="C387" s="17"/>
      <c r="D387" s="17"/>
      <c r="E387" s="17"/>
      <c r="F387" s="17"/>
      <c r="G387" s="17"/>
    </row>
    <row r="388" spans="2:9" ht="20.25" customHeight="1" x14ac:dyDescent="0.25">
      <c r="F388" s="27"/>
    </row>
    <row r="389" spans="2:9" ht="20.25" customHeight="1" x14ac:dyDescent="0.25">
      <c r="F389" s="27"/>
      <c r="I389" s="3"/>
    </row>
    <row r="390" spans="2:9" ht="20.25" customHeight="1" x14ac:dyDescent="0.25">
      <c r="F390" s="27"/>
      <c r="I390" s="3"/>
    </row>
    <row r="391" spans="2:9" ht="20.25" customHeight="1" x14ac:dyDescent="0.25">
      <c r="F391" s="27"/>
      <c r="I391" s="3"/>
    </row>
    <row r="392" spans="2:9" ht="20.25" customHeight="1" x14ac:dyDescent="0.25">
      <c r="F392" s="27"/>
      <c r="I392" s="3"/>
    </row>
    <row r="393" spans="2:9" ht="20.25" customHeight="1" x14ac:dyDescent="0.25">
      <c r="F393" s="27"/>
      <c r="I393" s="3"/>
    </row>
    <row r="394" spans="2:9" ht="20.25" customHeight="1" x14ac:dyDescent="0.25">
      <c r="F394" s="27"/>
      <c r="I394" s="3"/>
    </row>
    <row r="395" spans="2:9" ht="20.25" customHeight="1" x14ac:dyDescent="0.25">
      <c r="F395" s="27"/>
      <c r="I395" s="3"/>
    </row>
    <row r="396" spans="2:9" ht="20.25" customHeight="1" x14ac:dyDescent="0.25">
      <c r="F396" s="27"/>
      <c r="I396" s="3"/>
    </row>
    <row r="397" spans="2:9" ht="20.25" customHeight="1" x14ac:dyDescent="0.25">
      <c r="F397" s="27"/>
      <c r="I397" s="3"/>
    </row>
    <row r="398" spans="2:9" ht="20.25" customHeight="1" x14ac:dyDescent="0.25">
      <c r="F398" s="27"/>
      <c r="I398" s="3"/>
    </row>
    <row r="399" spans="2:9" ht="20.25" customHeight="1" x14ac:dyDescent="0.25">
      <c r="F399" s="27"/>
      <c r="I399" s="3"/>
    </row>
    <row r="400" spans="2:9" ht="20.25" customHeight="1" x14ac:dyDescent="0.25">
      <c r="F400" s="27"/>
      <c r="I400" s="3"/>
    </row>
    <row r="401" spans="6:9" ht="20.25" customHeight="1" x14ac:dyDescent="0.25">
      <c r="F401" s="27"/>
      <c r="I401" s="3"/>
    </row>
    <row r="402" spans="6:9" ht="20.25" customHeight="1" x14ac:dyDescent="0.25">
      <c r="F402" s="27"/>
      <c r="I402" s="3"/>
    </row>
    <row r="403" spans="6:9" ht="20.25" customHeight="1" x14ac:dyDescent="0.25">
      <c r="F403" s="27"/>
      <c r="I403" s="3"/>
    </row>
    <row r="404" spans="6:9" ht="20.25" customHeight="1" x14ac:dyDescent="0.25">
      <c r="F404" s="27"/>
      <c r="I404" s="3"/>
    </row>
    <row r="405" spans="6:9" ht="20.25" customHeight="1" x14ac:dyDescent="0.25">
      <c r="F405" s="27"/>
      <c r="I405" s="3"/>
    </row>
    <row r="406" spans="6:9" ht="20.25" customHeight="1" x14ac:dyDescent="0.25">
      <c r="F406" s="27"/>
      <c r="I406" s="3"/>
    </row>
    <row r="407" spans="6:9" ht="20.25" customHeight="1" x14ac:dyDescent="0.25">
      <c r="F407" s="27"/>
      <c r="I407" s="3"/>
    </row>
    <row r="408" spans="6:9" ht="20.25" customHeight="1" x14ac:dyDescent="0.25">
      <c r="F408" s="27"/>
      <c r="I408" s="3"/>
    </row>
    <row r="409" spans="6:9" ht="20.25" customHeight="1" x14ac:dyDescent="0.25">
      <c r="F409" s="27"/>
      <c r="I409" s="3"/>
    </row>
    <row r="410" spans="6:9" ht="20.25" customHeight="1" x14ac:dyDescent="0.25">
      <c r="F410" s="27"/>
      <c r="I410" s="3"/>
    </row>
    <row r="411" spans="6:9" x14ac:dyDescent="0.25">
      <c r="F411" s="27"/>
      <c r="I411" s="3"/>
    </row>
    <row r="412" spans="6:9" x14ac:dyDescent="0.25">
      <c r="F412" s="27"/>
      <c r="I412" s="3"/>
    </row>
    <row r="413" spans="6:9" x14ac:dyDescent="0.25">
      <c r="F413" s="27"/>
      <c r="I413" s="3"/>
    </row>
    <row r="414" spans="6:9" x14ac:dyDescent="0.25">
      <c r="F414" s="27"/>
      <c r="I414" s="3"/>
    </row>
    <row r="415" spans="6:9" x14ac:dyDescent="0.25">
      <c r="F415" s="27"/>
      <c r="I415" s="3"/>
    </row>
    <row r="416" spans="6:9" x14ac:dyDescent="0.25">
      <c r="F416" s="27"/>
      <c r="I416" s="3"/>
    </row>
    <row r="417" spans="6:9" x14ac:dyDescent="0.25">
      <c r="F417" s="27"/>
      <c r="I417" s="3"/>
    </row>
    <row r="418" spans="6:9" x14ac:dyDescent="0.25">
      <c r="F418" s="27"/>
      <c r="I418" s="3"/>
    </row>
    <row r="419" spans="6:9" x14ac:dyDescent="0.25">
      <c r="F419" s="27"/>
      <c r="I419" s="3"/>
    </row>
    <row r="420" spans="6:9" x14ac:dyDescent="0.25">
      <c r="F420" s="27"/>
      <c r="I420" s="3"/>
    </row>
    <row r="421" spans="6:9" x14ac:dyDescent="0.25">
      <c r="F421" s="27"/>
      <c r="I421" s="3"/>
    </row>
    <row r="422" spans="6:9" x14ac:dyDescent="0.25">
      <c r="F422" s="27"/>
      <c r="I422" s="3"/>
    </row>
    <row r="423" spans="6:9" x14ac:dyDescent="0.25">
      <c r="F423" s="27"/>
      <c r="I423" s="3"/>
    </row>
    <row r="424" spans="6:9" x14ac:dyDescent="0.25">
      <c r="F424" s="27"/>
      <c r="I424" s="3"/>
    </row>
    <row r="425" spans="6:9" x14ac:dyDescent="0.25">
      <c r="F425" s="27"/>
      <c r="I425" s="3"/>
    </row>
    <row r="426" spans="6:9" x14ac:dyDescent="0.25">
      <c r="F426" s="27"/>
      <c r="I426" s="3"/>
    </row>
    <row r="427" spans="6:9" x14ac:dyDescent="0.25">
      <c r="F427" s="27"/>
      <c r="I427" s="3"/>
    </row>
    <row r="428" spans="6:9" x14ac:dyDescent="0.25">
      <c r="F428" s="27"/>
      <c r="I428" s="3"/>
    </row>
    <row r="429" spans="6:9" x14ac:dyDescent="0.25">
      <c r="F429" s="27"/>
      <c r="I429" s="3"/>
    </row>
    <row r="430" spans="6:9" x14ac:dyDescent="0.25">
      <c r="F430" s="27"/>
      <c r="I430" s="3"/>
    </row>
    <row r="431" spans="6:9" x14ac:dyDescent="0.25">
      <c r="F431" s="27"/>
      <c r="I431" s="3"/>
    </row>
    <row r="432" spans="6:9" x14ac:dyDescent="0.25">
      <c r="F432" s="27"/>
      <c r="I432" s="3"/>
    </row>
    <row r="433" spans="6:9" x14ac:dyDescent="0.25">
      <c r="F433" s="27"/>
      <c r="I433" s="3"/>
    </row>
    <row r="434" spans="6:9" x14ac:dyDescent="0.25">
      <c r="F434" s="27"/>
      <c r="I434" s="3"/>
    </row>
    <row r="435" spans="6:9" x14ac:dyDescent="0.25">
      <c r="F435" s="27"/>
      <c r="I435" s="3"/>
    </row>
    <row r="436" spans="6:9" x14ac:dyDescent="0.25">
      <c r="F436" s="27"/>
      <c r="I436" s="3"/>
    </row>
    <row r="437" spans="6:9" x14ac:dyDescent="0.25">
      <c r="F437" s="27"/>
      <c r="I437" s="3"/>
    </row>
    <row r="438" spans="6:9" x14ac:dyDescent="0.25">
      <c r="F438" s="27"/>
      <c r="I438" s="3"/>
    </row>
    <row r="439" spans="6:9" x14ac:dyDescent="0.25">
      <c r="F439" s="27"/>
      <c r="I439" s="3"/>
    </row>
    <row r="440" spans="6:9" x14ac:dyDescent="0.25">
      <c r="F440" s="27"/>
      <c r="I440" s="3"/>
    </row>
    <row r="441" spans="6:9" x14ac:dyDescent="0.25">
      <c r="F441" s="27"/>
      <c r="I441" s="3"/>
    </row>
    <row r="442" spans="6:9" x14ac:dyDescent="0.25">
      <c r="F442" s="27"/>
      <c r="I442" s="3"/>
    </row>
    <row r="443" spans="6:9" x14ac:dyDescent="0.25">
      <c r="F443" s="27"/>
      <c r="I443" s="3"/>
    </row>
    <row r="444" spans="6:9" x14ac:dyDescent="0.25">
      <c r="F444" s="27"/>
      <c r="I444" s="3"/>
    </row>
  </sheetData>
  <mergeCells count="2">
    <mergeCell ref="A3:G3"/>
    <mergeCell ref="H3:N3"/>
  </mergeCells>
  <pageMargins left="0.38" right="0.25" top="0.5" bottom="0.49" header="0.5" footer="0.5"/>
  <pageSetup scale="53" orientation="landscape" r:id="rId1"/>
  <headerFooter alignWithMargins="0"/>
  <rowBreaks count="6" manualBreakCount="6">
    <brk id="56" max="16383" man="1"/>
    <brk id="109" max="15" man="1"/>
    <brk id="160" max="15" man="1"/>
    <brk id="212" max="15" man="1"/>
    <brk id="264" max="15" man="1"/>
    <brk id="316" max="15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2"/>
  <sheetViews>
    <sheetView tabSelected="1" zoomScaleNormal="100" workbookViewId="0">
      <selection activeCell="I324" sqref="I324"/>
    </sheetView>
  </sheetViews>
  <sheetFormatPr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bestFit="1" customWidth="1"/>
    <col min="9" max="16384" width="9.140625" style="3"/>
  </cols>
  <sheetData>
    <row r="1" spans="1:11" ht="60" customHeight="1" x14ac:dyDescent="0.35">
      <c r="A1" s="30" t="s">
        <v>41</v>
      </c>
      <c r="B1" s="25"/>
      <c r="C1" s="25"/>
      <c r="D1" s="25"/>
      <c r="E1" s="25"/>
      <c r="F1" s="25"/>
    </row>
    <row r="2" spans="1:11" ht="50.1" customHeight="1" x14ac:dyDescent="0.35">
      <c r="A2" s="29" t="s">
        <v>40</v>
      </c>
      <c r="B2" s="25"/>
      <c r="C2" s="25"/>
      <c r="D2" s="25"/>
      <c r="E2" s="25"/>
      <c r="F2" s="25"/>
    </row>
    <row r="3" spans="1:11" ht="84" customHeight="1" x14ac:dyDescent="0.25">
      <c r="A3" s="57" t="s">
        <v>44</v>
      </c>
      <c r="B3" s="58"/>
      <c r="C3" s="58"/>
      <c r="D3" s="58"/>
      <c r="E3" s="58"/>
      <c r="F3" s="58"/>
      <c r="G3" s="28"/>
      <c r="H3" s="28"/>
    </row>
    <row r="4" spans="1:11" ht="35.1" customHeight="1" x14ac:dyDescent="0.35">
      <c r="A4" s="59" t="s">
        <v>39</v>
      </c>
      <c r="B4" s="59"/>
      <c r="C4" s="59"/>
      <c r="D4" s="59"/>
      <c r="E4" s="59"/>
      <c r="F4" s="59"/>
    </row>
    <row r="5" spans="1:11" ht="35.1" customHeight="1" x14ac:dyDescent="0.35">
      <c r="A5" s="59" t="s">
        <v>38</v>
      </c>
      <c r="B5" s="60"/>
      <c r="C5" s="60"/>
      <c r="D5" s="60"/>
      <c r="E5" s="60"/>
      <c r="F5" s="60"/>
    </row>
    <row r="6" spans="1:11" ht="50.1" customHeight="1" x14ac:dyDescent="0.25">
      <c r="A6" s="57" t="s">
        <v>37</v>
      </c>
      <c r="B6" s="58"/>
      <c r="C6" s="58"/>
      <c r="D6" s="58"/>
      <c r="E6" s="58"/>
      <c r="F6" s="58"/>
    </row>
    <row r="7" spans="1:11" ht="50.1" customHeight="1" x14ac:dyDescent="0.25">
      <c r="A7" s="57"/>
      <c r="B7" s="58"/>
      <c r="C7" s="58"/>
      <c r="D7" s="58"/>
      <c r="E7" s="58"/>
      <c r="F7" s="58"/>
      <c r="K7" s="51"/>
    </row>
    <row r="8" spans="1:11" x14ac:dyDescent="0.25">
      <c r="K8" s="51"/>
    </row>
    <row r="9" spans="1:11" x14ac:dyDescent="0.25">
      <c r="K9" s="51"/>
    </row>
    <row r="10" spans="1:11" x14ac:dyDescent="0.25">
      <c r="K10" s="51"/>
    </row>
    <row r="11" spans="1:11" x14ac:dyDescent="0.25">
      <c r="K11" s="51"/>
    </row>
    <row r="12" spans="1:11" x14ac:dyDescent="0.25">
      <c r="K12" s="51"/>
    </row>
    <row r="13" spans="1:11" x14ac:dyDescent="0.25">
      <c r="K13" s="51"/>
    </row>
    <row r="14" spans="1:11" x14ac:dyDescent="0.25">
      <c r="K14" s="51"/>
    </row>
    <row r="15" spans="1:11" x14ac:dyDescent="0.25">
      <c r="K15" s="51"/>
    </row>
    <row r="16" spans="1:11" x14ac:dyDescent="0.25">
      <c r="K16" s="51"/>
    </row>
    <row r="17" spans="11:11" x14ac:dyDescent="0.25">
      <c r="K17" s="51"/>
    </row>
    <row r="18" spans="11:11" x14ac:dyDescent="0.25">
      <c r="K18" s="51"/>
    </row>
    <row r="19" spans="11:11" ht="17.25" customHeight="1" x14ac:dyDescent="0.25">
      <c r="K19" s="51"/>
    </row>
    <row r="20" spans="11:11" x14ac:dyDescent="0.25">
      <c r="K20" s="51"/>
    </row>
    <row r="21" spans="11:11" x14ac:dyDescent="0.25">
      <c r="K21" s="51"/>
    </row>
    <row r="22" spans="11:11" x14ac:dyDescent="0.25">
      <c r="K22" s="51"/>
    </row>
    <row r="23" spans="11:11" x14ac:dyDescent="0.25">
      <c r="K23" s="51"/>
    </row>
    <row r="24" spans="11:11" x14ac:dyDescent="0.25">
      <c r="K24" s="51"/>
    </row>
    <row r="25" spans="11:11" x14ac:dyDescent="0.25">
      <c r="K25" s="51"/>
    </row>
    <row r="26" spans="11:11" x14ac:dyDescent="0.25">
      <c r="K26" s="51"/>
    </row>
    <row r="27" spans="11:11" x14ac:dyDescent="0.25">
      <c r="K27" s="51"/>
    </row>
    <row r="28" spans="11:11" x14ac:dyDescent="0.25">
      <c r="K28" s="51"/>
    </row>
    <row r="29" spans="11:11" x14ac:dyDescent="0.25">
      <c r="K29" s="51"/>
    </row>
    <row r="30" spans="11:11" x14ac:dyDescent="0.25">
      <c r="K30" s="51"/>
    </row>
    <row r="31" spans="11:11" x14ac:dyDescent="0.25">
      <c r="K31" s="51"/>
    </row>
    <row r="32" spans="11:11" x14ac:dyDescent="0.25">
      <c r="K32" s="51"/>
    </row>
    <row r="33" spans="11:11" x14ac:dyDescent="0.25">
      <c r="K33" s="51"/>
    </row>
    <row r="34" spans="11:11" x14ac:dyDescent="0.25">
      <c r="K34" s="51"/>
    </row>
    <row r="35" spans="11:11" x14ac:dyDescent="0.25">
      <c r="K35" s="51"/>
    </row>
    <row r="36" spans="11:11" x14ac:dyDescent="0.25">
      <c r="K36" s="51"/>
    </row>
    <row r="37" spans="11:11" x14ac:dyDescent="0.25">
      <c r="K37" s="51"/>
    </row>
    <row r="38" spans="11:11" x14ac:dyDescent="0.25">
      <c r="K38" s="51"/>
    </row>
    <row r="39" spans="11:11" x14ac:dyDescent="0.25">
      <c r="K39" s="51"/>
    </row>
    <row r="40" spans="11:11" x14ac:dyDescent="0.25">
      <c r="K40" s="51"/>
    </row>
    <row r="41" spans="11:11" x14ac:dyDescent="0.25">
      <c r="K41" s="51"/>
    </row>
    <row r="42" spans="11:11" x14ac:dyDescent="0.25">
      <c r="K42" s="51"/>
    </row>
    <row r="43" spans="11:11" ht="16.5" customHeight="1" x14ac:dyDescent="0.25">
      <c r="K43" s="51"/>
    </row>
    <row r="44" spans="11:11" x14ac:dyDescent="0.25">
      <c r="K44" s="51"/>
    </row>
    <row r="45" spans="11:11" x14ac:dyDescent="0.25">
      <c r="K45" s="51"/>
    </row>
    <row r="46" spans="11:11" x14ac:dyDescent="0.25">
      <c r="K46" s="51"/>
    </row>
    <row r="47" spans="11:11" ht="16.5" customHeight="1" x14ac:dyDescent="0.25">
      <c r="K47" s="51"/>
    </row>
    <row r="48" spans="11:11" x14ac:dyDescent="0.25">
      <c r="K48" s="51"/>
    </row>
    <row r="49" spans="11:11" x14ac:dyDescent="0.25">
      <c r="K49" s="51"/>
    </row>
    <row r="50" spans="11:11" x14ac:dyDescent="0.25">
      <c r="K50" s="51"/>
    </row>
    <row r="51" spans="11:11" ht="16.5" customHeight="1" x14ac:dyDescent="0.25">
      <c r="K51" s="51"/>
    </row>
    <row r="52" spans="11:11" x14ac:dyDescent="0.25">
      <c r="K52" s="51"/>
    </row>
    <row r="53" spans="11:11" x14ac:dyDescent="0.25">
      <c r="K53" s="51"/>
    </row>
    <row r="54" spans="11:11" x14ac:dyDescent="0.25">
      <c r="K54" s="51"/>
    </row>
    <row r="55" spans="11:11" x14ac:dyDescent="0.25">
      <c r="K55" s="51"/>
    </row>
    <row r="56" spans="11:11" x14ac:dyDescent="0.25">
      <c r="K56" s="51"/>
    </row>
    <row r="57" spans="11:11" x14ac:dyDescent="0.25">
      <c r="K57" s="51"/>
    </row>
    <row r="58" spans="11:11" x14ac:dyDescent="0.25">
      <c r="K58" s="51"/>
    </row>
    <row r="59" spans="11:11" x14ac:dyDescent="0.25">
      <c r="K59" s="51"/>
    </row>
    <row r="60" spans="11:11" x14ac:dyDescent="0.25">
      <c r="K60" s="51"/>
    </row>
    <row r="61" spans="11:11" x14ac:dyDescent="0.25">
      <c r="K61" s="51"/>
    </row>
    <row r="62" spans="11:11" x14ac:dyDescent="0.25">
      <c r="K62" s="51"/>
    </row>
    <row r="63" spans="11:11" x14ac:dyDescent="0.25">
      <c r="K63" s="51"/>
    </row>
    <row r="64" spans="11:11" x14ac:dyDescent="0.25">
      <c r="K64" s="51"/>
    </row>
    <row r="65" spans="8:11" x14ac:dyDescent="0.25">
      <c r="K65" s="51"/>
    </row>
    <row r="66" spans="8:11" x14ac:dyDescent="0.25">
      <c r="K66" s="51"/>
    </row>
    <row r="67" spans="8:11" x14ac:dyDescent="0.25">
      <c r="K67" s="51"/>
    </row>
    <row r="68" spans="8:11" x14ac:dyDescent="0.25">
      <c r="K68" s="51"/>
    </row>
    <row r="69" spans="8:11" x14ac:dyDescent="0.25">
      <c r="K69" s="51"/>
    </row>
    <row r="70" spans="8:11" x14ac:dyDescent="0.25">
      <c r="K70" s="51"/>
    </row>
    <row r="71" spans="8:11" x14ac:dyDescent="0.25">
      <c r="K71" s="51"/>
    </row>
    <row r="72" spans="8:11" x14ac:dyDescent="0.25">
      <c r="K72" s="51"/>
    </row>
    <row r="73" spans="8:11" x14ac:dyDescent="0.25">
      <c r="K73" s="51"/>
    </row>
    <row r="74" spans="8:11" x14ac:dyDescent="0.25">
      <c r="K74" s="51"/>
    </row>
    <row r="75" spans="8:11" x14ac:dyDescent="0.25">
      <c r="K75" s="51"/>
    </row>
    <row r="76" spans="8:11" x14ac:dyDescent="0.25">
      <c r="K76" s="51"/>
    </row>
    <row r="77" spans="8:11" x14ac:dyDescent="0.25">
      <c r="K77" s="51"/>
    </row>
    <row r="78" spans="8:11" x14ac:dyDescent="0.25">
      <c r="K78" s="51"/>
    </row>
    <row r="79" spans="8:11" x14ac:dyDescent="0.25">
      <c r="K79" s="51"/>
    </row>
    <row r="80" spans="8:11" x14ac:dyDescent="0.25">
      <c r="H80" s="19"/>
      <c r="K80" s="51"/>
    </row>
    <row r="81" spans="8:11" x14ac:dyDescent="0.25">
      <c r="H81" s="19"/>
      <c r="K81" s="51"/>
    </row>
    <row r="82" spans="8:11" x14ac:dyDescent="0.25">
      <c r="H82" s="19"/>
      <c r="K82" s="51"/>
    </row>
    <row r="83" spans="8:11" x14ac:dyDescent="0.25">
      <c r="K83" s="51"/>
    </row>
    <row r="84" spans="8:11" x14ac:dyDescent="0.25">
      <c r="K84" s="51"/>
    </row>
    <row r="85" spans="8:11" x14ac:dyDescent="0.25">
      <c r="K85" s="51"/>
    </row>
    <row r="86" spans="8:11" x14ac:dyDescent="0.25">
      <c r="K86" s="51"/>
    </row>
    <row r="87" spans="8:11" x14ac:dyDescent="0.25">
      <c r="K87" s="51"/>
    </row>
    <row r="88" spans="8:11" x14ac:dyDescent="0.25">
      <c r="K88" s="51"/>
    </row>
    <row r="89" spans="8:11" x14ac:dyDescent="0.25">
      <c r="K89" s="51"/>
    </row>
    <row r="90" spans="8:11" x14ac:dyDescent="0.25">
      <c r="K90" s="51"/>
    </row>
    <row r="91" spans="8:11" ht="20.25" customHeight="1" x14ac:dyDescent="0.25">
      <c r="K91" s="51"/>
    </row>
    <row r="92" spans="8:11" x14ac:dyDescent="0.25">
      <c r="K92" s="51"/>
    </row>
    <row r="93" spans="8:11" ht="19.5" customHeight="1" x14ac:dyDescent="0.25">
      <c r="K93" s="51"/>
    </row>
    <row r="94" spans="8:11" x14ac:dyDescent="0.25">
      <c r="K94" s="51"/>
    </row>
    <row r="95" spans="8:11" ht="19.5" customHeight="1" x14ac:dyDescent="0.25">
      <c r="K95" s="51"/>
    </row>
    <row r="96" spans="8:11" x14ac:dyDescent="0.25">
      <c r="K96" s="51"/>
    </row>
    <row r="97" spans="11:11" ht="19.5" customHeight="1" x14ac:dyDescent="0.25">
      <c r="K97" s="51"/>
    </row>
    <row r="98" spans="11:11" x14ac:dyDescent="0.25">
      <c r="K98" s="51"/>
    </row>
    <row r="99" spans="11:11" ht="19.5" customHeight="1" x14ac:dyDescent="0.25">
      <c r="K99" s="51"/>
    </row>
    <row r="100" spans="11:11" x14ac:dyDescent="0.25">
      <c r="K100" s="51"/>
    </row>
    <row r="101" spans="11:11" ht="20.25" customHeight="1" x14ac:dyDescent="0.25">
      <c r="K101" s="51"/>
    </row>
    <row r="102" spans="11:11" x14ac:dyDescent="0.25">
      <c r="K102" s="51"/>
    </row>
    <row r="103" spans="11:11" ht="21" customHeight="1" x14ac:dyDescent="0.25">
      <c r="K103" s="51"/>
    </row>
    <row r="104" spans="11:11" x14ac:dyDescent="0.25">
      <c r="K104" s="51"/>
    </row>
    <row r="109" spans="11:11" x14ac:dyDescent="0.25">
      <c r="K109" s="51"/>
    </row>
    <row r="110" spans="11:11" x14ac:dyDescent="0.25">
      <c r="K110" s="51"/>
    </row>
    <row r="111" spans="11:11" x14ac:dyDescent="0.25">
      <c r="K111" s="51"/>
    </row>
    <row r="112" spans="11:11" x14ac:dyDescent="0.25">
      <c r="K112" s="51"/>
    </row>
    <row r="113" spans="11:11" ht="18.75" customHeight="1" x14ac:dyDescent="0.25">
      <c r="K113" s="51"/>
    </row>
    <row r="114" spans="11:11" x14ac:dyDescent="0.25">
      <c r="K114" s="51"/>
    </row>
    <row r="115" spans="11:11" ht="21" customHeight="1" x14ac:dyDescent="0.25">
      <c r="K115" s="51"/>
    </row>
    <row r="116" spans="11:11" x14ac:dyDescent="0.25">
      <c r="K116" s="51"/>
    </row>
    <row r="117" spans="11:11" ht="21" customHeight="1" x14ac:dyDescent="0.25">
      <c r="K117" s="51"/>
    </row>
    <row r="118" spans="11:11" x14ac:dyDescent="0.25">
      <c r="K118" s="51"/>
    </row>
    <row r="119" spans="11:11" ht="21" customHeight="1" x14ac:dyDescent="0.25">
      <c r="K119" s="51"/>
    </row>
    <row r="120" spans="11:11" x14ac:dyDescent="0.25">
      <c r="K120" s="51"/>
    </row>
    <row r="121" spans="11:11" ht="19.5" customHeight="1" x14ac:dyDescent="0.25">
      <c r="K121" s="51"/>
    </row>
    <row r="122" spans="11:11" x14ac:dyDescent="0.25">
      <c r="K122" s="51"/>
    </row>
    <row r="123" spans="11:11" ht="20.25" customHeight="1" x14ac:dyDescent="0.25">
      <c r="K123" s="51"/>
    </row>
    <row r="124" spans="11:11" x14ac:dyDescent="0.25">
      <c r="K124" s="51"/>
    </row>
    <row r="125" spans="11:11" ht="19.5" customHeight="1" x14ac:dyDescent="0.25">
      <c r="K125" s="51"/>
    </row>
    <row r="126" spans="11:11" x14ac:dyDescent="0.25">
      <c r="K126" s="51"/>
    </row>
    <row r="127" spans="11:11" ht="18.75" customHeight="1" x14ac:dyDescent="0.25">
      <c r="K127" s="51"/>
    </row>
    <row r="128" spans="11:11" x14ac:dyDescent="0.25">
      <c r="K128" s="51"/>
    </row>
    <row r="129" spans="11:11" ht="20.25" customHeight="1" x14ac:dyDescent="0.25">
      <c r="K129" s="51"/>
    </row>
    <row r="130" spans="11:11" x14ac:dyDescent="0.25">
      <c r="K130" s="51"/>
    </row>
    <row r="135" spans="11:11" x14ac:dyDescent="0.25">
      <c r="K135" s="51"/>
    </row>
    <row r="136" spans="11:11" x14ac:dyDescent="0.25">
      <c r="K136" s="51"/>
    </row>
    <row r="137" spans="11:11" x14ac:dyDescent="0.25">
      <c r="K137" s="51"/>
    </row>
    <row r="138" spans="11:11" x14ac:dyDescent="0.25">
      <c r="K138" s="51"/>
    </row>
    <row r="139" spans="11:11" ht="19.5" customHeight="1" x14ac:dyDescent="0.25">
      <c r="K139" s="51"/>
    </row>
    <row r="140" spans="11:11" x14ac:dyDescent="0.25">
      <c r="K140" s="51"/>
    </row>
    <row r="141" spans="11:11" ht="18.75" customHeight="1" x14ac:dyDescent="0.25">
      <c r="K141" s="51"/>
    </row>
    <row r="142" spans="11:11" x14ac:dyDescent="0.25">
      <c r="K142" s="51"/>
    </row>
    <row r="143" spans="11:11" ht="19.5" customHeight="1" x14ac:dyDescent="0.25">
      <c r="K143" s="51"/>
    </row>
    <row r="144" spans="11:11" x14ac:dyDescent="0.25">
      <c r="K144" s="51"/>
    </row>
    <row r="145" spans="11:13" ht="21" customHeight="1" x14ac:dyDescent="0.25">
      <c r="K145" s="51"/>
    </row>
    <row r="146" spans="11:13" x14ac:dyDescent="0.25">
      <c r="K146" s="51"/>
    </row>
    <row r="147" spans="11:13" ht="18.75" customHeight="1" x14ac:dyDescent="0.25">
      <c r="K147" s="51"/>
    </row>
    <row r="148" spans="11:13" x14ac:dyDescent="0.25">
      <c r="K148" s="51"/>
    </row>
    <row r="149" spans="11:13" ht="18.75" customHeight="1" x14ac:dyDescent="0.25">
      <c r="K149" s="51"/>
    </row>
    <row r="150" spans="11:13" x14ac:dyDescent="0.25">
      <c r="K150" s="51"/>
    </row>
    <row r="151" spans="11:13" ht="18.75" customHeight="1" x14ac:dyDescent="0.25">
      <c r="K151" s="51"/>
    </row>
    <row r="152" spans="11:13" x14ac:dyDescent="0.25">
      <c r="K152" s="51"/>
    </row>
    <row r="153" spans="11:13" ht="21.75" customHeight="1" x14ac:dyDescent="0.25">
      <c r="K153" s="51"/>
    </row>
    <row r="154" spans="11:13" x14ac:dyDescent="0.25">
      <c r="K154" s="51"/>
    </row>
    <row r="155" spans="11:13" ht="19.5" customHeight="1" x14ac:dyDescent="0.25">
      <c r="K155" s="51"/>
    </row>
    <row r="156" spans="11:13" x14ac:dyDescent="0.25">
      <c r="K156" s="51"/>
    </row>
    <row r="157" spans="11:13" x14ac:dyDescent="0.25">
      <c r="K157" s="51"/>
    </row>
    <row r="158" spans="11:13" x14ac:dyDescent="0.25">
      <c r="K158" s="51"/>
      <c r="M158" s="3">
        <v>106788.25</v>
      </c>
    </row>
    <row r="159" spans="11:13" ht="18" customHeight="1" x14ac:dyDescent="0.25">
      <c r="K159" s="51"/>
      <c r="M159" s="3">
        <v>14950.349999999999</v>
      </c>
    </row>
    <row r="160" spans="11:13" x14ac:dyDescent="0.25">
      <c r="K160" s="51"/>
      <c r="M160" s="3">
        <v>2135.77</v>
      </c>
    </row>
    <row r="161" spans="11:11" ht="19.5" customHeight="1" x14ac:dyDescent="0.25">
      <c r="K161" s="51"/>
    </row>
    <row r="162" spans="11:11" x14ac:dyDescent="0.25">
      <c r="K162" s="51"/>
    </row>
    <row r="163" spans="11:11" ht="21" customHeight="1" x14ac:dyDescent="0.25">
      <c r="K163" s="51"/>
    </row>
    <row r="164" spans="11:11" x14ac:dyDescent="0.25">
      <c r="K164" s="51"/>
    </row>
    <row r="165" spans="11:11" ht="19.5" customHeight="1" x14ac:dyDescent="0.25">
      <c r="K165" s="51"/>
    </row>
    <row r="166" spans="11:11" x14ac:dyDescent="0.25">
      <c r="K166" s="51"/>
    </row>
    <row r="167" spans="11:11" ht="20.25" customHeight="1" x14ac:dyDescent="0.25">
      <c r="K167" s="51"/>
    </row>
    <row r="168" spans="11:11" x14ac:dyDescent="0.25">
      <c r="K168" s="51"/>
    </row>
    <row r="169" spans="11:11" ht="20.25" customHeight="1" x14ac:dyDescent="0.25">
      <c r="K169" s="51"/>
    </row>
    <row r="170" spans="11:11" x14ac:dyDescent="0.25">
      <c r="K170" s="51"/>
    </row>
    <row r="171" spans="11:11" ht="20.25" customHeight="1" x14ac:dyDescent="0.25">
      <c r="K171" s="51"/>
    </row>
    <row r="172" spans="11:11" x14ac:dyDescent="0.25">
      <c r="K172" s="51"/>
    </row>
    <row r="173" spans="11:11" ht="19.5" customHeight="1" x14ac:dyDescent="0.25">
      <c r="K173" s="51"/>
    </row>
    <row r="174" spans="11:11" x14ac:dyDescent="0.25">
      <c r="K174" s="51"/>
    </row>
    <row r="175" spans="11:11" ht="19.5" customHeight="1" x14ac:dyDescent="0.25">
      <c r="K175" s="51"/>
    </row>
    <row r="176" spans="11:11" x14ac:dyDescent="0.25">
      <c r="K176" s="51"/>
    </row>
    <row r="177" spans="11:11" ht="20.25" customHeight="1" x14ac:dyDescent="0.25">
      <c r="K177" s="51"/>
    </row>
    <row r="178" spans="11:11" x14ac:dyDescent="0.25">
      <c r="K178" s="51"/>
    </row>
    <row r="179" spans="11:11" x14ac:dyDescent="0.25">
      <c r="K179" s="51"/>
    </row>
    <row r="180" spans="11:11" x14ac:dyDescent="0.25">
      <c r="K180" s="51"/>
    </row>
    <row r="181" spans="11:11" x14ac:dyDescent="0.25">
      <c r="K181" s="51"/>
    </row>
    <row r="182" spans="11:11" x14ac:dyDescent="0.25">
      <c r="K182" s="51"/>
    </row>
    <row r="183" spans="11:11" x14ac:dyDescent="0.25">
      <c r="K183" s="51"/>
    </row>
    <row r="184" spans="11:11" x14ac:dyDescent="0.25">
      <c r="K184" s="51"/>
    </row>
    <row r="185" spans="11:11" ht="18.75" customHeight="1" x14ac:dyDescent="0.25">
      <c r="K185" s="51"/>
    </row>
    <row r="186" spans="11:11" x14ac:dyDescent="0.25">
      <c r="K186" s="51"/>
    </row>
    <row r="187" spans="11:11" ht="19.5" customHeight="1" x14ac:dyDescent="0.25">
      <c r="K187" s="51"/>
    </row>
    <row r="188" spans="11:11" x14ac:dyDescent="0.25">
      <c r="K188" s="51"/>
    </row>
    <row r="189" spans="11:11" ht="21" customHeight="1" x14ac:dyDescent="0.25">
      <c r="K189" s="51"/>
    </row>
    <row r="190" spans="11:11" x14ac:dyDescent="0.25">
      <c r="K190" s="51"/>
    </row>
    <row r="191" spans="11:11" ht="19.5" customHeight="1" x14ac:dyDescent="0.25">
      <c r="K191" s="51"/>
    </row>
    <row r="192" spans="11:11" x14ac:dyDescent="0.25">
      <c r="K192" s="51"/>
    </row>
    <row r="193" spans="11:11" ht="20.25" customHeight="1" x14ac:dyDescent="0.25">
      <c r="K193" s="51"/>
    </row>
    <row r="194" spans="11:11" x14ac:dyDescent="0.25">
      <c r="K194" s="51"/>
    </row>
    <row r="195" spans="11:11" ht="20.25" customHeight="1" x14ac:dyDescent="0.25">
      <c r="K195" s="51"/>
    </row>
    <row r="196" spans="11:11" x14ac:dyDescent="0.25">
      <c r="K196" s="51"/>
    </row>
    <row r="197" spans="11:11" ht="18.75" customHeight="1" x14ac:dyDescent="0.25">
      <c r="K197" s="51"/>
    </row>
    <row r="198" spans="11:11" x14ac:dyDescent="0.25">
      <c r="K198" s="51"/>
    </row>
    <row r="199" spans="11:11" ht="19.5" customHeight="1" x14ac:dyDescent="0.25">
      <c r="K199" s="51"/>
    </row>
    <row r="200" spans="11:11" x14ac:dyDescent="0.25">
      <c r="K200" s="51"/>
    </row>
    <row r="201" spans="11:11" ht="19.5" customHeight="1" x14ac:dyDescent="0.25">
      <c r="K201" s="51"/>
    </row>
    <row r="202" spans="11:11" x14ac:dyDescent="0.25">
      <c r="K202" s="51"/>
    </row>
    <row r="203" spans="11:11" ht="18.75" customHeight="1" x14ac:dyDescent="0.25">
      <c r="K203" s="51"/>
    </row>
    <row r="204" spans="11:11" x14ac:dyDescent="0.25">
      <c r="K204" s="51"/>
    </row>
    <row r="205" spans="11:11" x14ac:dyDescent="0.25">
      <c r="K205" s="51"/>
    </row>
    <row r="206" spans="11:11" x14ac:dyDescent="0.25">
      <c r="K206" s="51"/>
    </row>
    <row r="207" spans="11:11" x14ac:dyDescent="0.25">
      <c r="K207" s="51"/>
    </row>
    <row r="208" spans="11:11" x14ac:dyDescent="0.25">
      <c r="K208" s="51"/>
    </row>
    <row r="209" spans="11:11" x14ac:dyDescent="0.25">
      <c r="K209" s="51"/>
    </row>
    <row r="210" spans="11:11" x14ac:dyDescent="0.25">
      <c r="K210" s="51"/>
    </row>
    <row r="211" spans="11:11" x14ac:dyDescent="0.25">
      <c r="K211" s="51"/>
    </row>
    <row r="212" spans="11:11" x14ac:dyDescent="0.25">
      <c r="K212" s="51"/>
    </row>
    <row r="213" spans="11:11" ht="19.5" customHeight="1" x14ac:dyDescent="0.25">
      <c r="K213" s="51"/>
    </row>
    <row r="214" spans="11:11" x14ac:dyDescent="0.25">
      <c r="K214" s="51"/>
    </row>
    <row r="215" spans="11:11" ht="19.5" customHeight="1" x14ac:dyDescent="0.25">
      <c r="K215" s="51"/>
    </row>
    <row r="216" spans="11:11" x14ac:dyDescent="0.25">
      <c r="K216" s="51"/>
    </row>
    <row r="217" spans="11:11" ht="19.5" customHeight="1" x14ac:dyDescent="0.25">
      <c r="K217" s="51"/>
    </row>
    <row r="218" spans="11:11" x14ac:dyDescent="0.25">
      <c r="K218" s="51"/>
    </row>
    <row r="219" spans="11:11" ht="20.25" customHeight="1" x14ac:dyDescent="0.25">
      <c r="K219" s="51"/>
    </row>
    <row r="220" spans="11:11" x14ac:dyDescent="0.25">
      <c r="K220" s="51"/>
    </row>
    <row r="221" spans="11:11" ht="18.75" customHeight="1" x14ac:dyDescent="0.25">
      <c r="K221" s="51"/>
    </row>
    <row r="222" spans="11:11" x14ac:dyDescent="0.25">
      <c r="K222" s="51"/>
    </row>
    <row r="223" spans="11:11" ht="19.5" customHeight="1" x14ac:dyDescent="0.25">
      <c r="K223" s="51"/>
    </row>
    <row r="224" spans="11:11" x14ac:dyDescent="0.25">
      <c r="K224" s="51"/>
    </row>
    <row r="225" spans="11:11" ht="20.25" customHeight="1" x14ac:dyDescent="0.25">
      <c r="K225" s="51"/>
    </row>
    <row r="226" spans="11:11" x14ac:dyDescent="0.25">
      <c r="K226" s="51"/>
    </row>
    <row r="227" spans="11:11" ht="20.25" customHeight="1" x14ac:dyDescent="0.25">
      <c r="K227" s="51"/>
    </row>
    <row r="228" spans="11:11" x14ac:dyDescent="0.25">
      <c r="K228" s="51"/>
    </row>
    <row r="229" spans="11:11" ht="19.5" customHeight="1" x14ac:dyDescent="0.25">
      <c r="K229" s="51"/>
    </row>
    <row r="230" spans="11:11" x14ac:dyDescent="0.25">
      <c r="K230" s="51"/>
    </row>
    <row r="231" spans="11:11" x14ac:dyDescent="0.25">
      <c r="K231" s="51"/>
    </row>
    <row r="232" spans="11:11" x14ac:dyDescent="0.25">
      <c r="K232" s="51"/>
    </row>
    <row r="233" spans="11:11" x14ac:dyDescent="0.25">
      <c r="K233" s="51"/>
    </row>
    <row r="234" spans="11:11" x14ac:dyDescent="0.25">
      <c r="K234" s="51"/>
    </row>
    <row r="239" spans="11:11" ht="19.5" customHeight="1" x14ac:dyDescent="0.25">
      <c r="K239" s="51"/>
    </row>
    <row r="240" spans="11:11" ht="16.5" customHeight="1" x14ac:dyDescent="0.25">
      <c r="K240" s="51"/>
    </row>
    <row r="241" spans="11:13" ht="18.75" customHeight="1" x14ac:dyDescent="0.25">
      <c r="K241" s="51">
        <v>136.72</v>
      </c>
      <c r="M241" s="3">
        <v>139.92000000000002</v>
      </c>
    </row>
    <row r="242" spans="11:13" x14ac:dyDescent="0.25">
      <c r="K242" s="51">
        <v>10419538.369999999</v>
      </c>
      <c r="M242" s="3">
        <v>9900928.9100000001</v>
      </c>
    </row>
    <row r="243" spans="11:13" ht="18.75" customHeight="1" x14ac:dyDescent="0.25">
      <c r="K243" s="51">
        <v>1496710.33</v>
      </c>
      <c r="M243" s="3">
        <v>1397708.59</v>
      </c>
    </row>
    <row r="244" spans="11:13" x14ac:dyDescent="0.25">
      <c r="K244" s="51">
        <v>208390.78</v>
      </c>
      <c r="M244" s="3">
        <v>198018.61</v>
      </c>
    </row>
    <row r="245" spans="11:13" ht="19.5" customHeight="1" x14ac:dyDescent="0.25">
      <c r="K245" s="51">
        <v>28</v>
      </c>
      <c r="M245" s="3">
        <v>28</v>
      </c>
    </row>
    <row r="246" spans="11:13" x14ac:dyDescent="0.25">
      <c r="K246" s="51">
        <v>655133</v>
      </c>
      <c r="M246" s="3">
        <v>622711</v>
      </c>
    </row>
    <row r="247" spans="11:13" ht="19.5" customHeight="1" x14ac:dyDescent="0.25">
      <c r="K247" s="51">
        <v>91718.62</v>
      </c>
      <c r="M247" s="3">
        <v>87179.540000000008</v>
      </c>
    </row>
    <row r="248" spans="11:13" x14ac:dyDescent="0.25">
      <c r="K248" s="51">
        <v>13102.660000000002</v>
      </c>
      <c r="M248" s="3">
        <v>12454.220000000001</v>
      </c>
    </row>
    <row r="249" spans="11:13" ht="18.75" customHeight="1" x14ac:dyDescent="0.25">
      <c r="K249" s="51">
        <v>102.8</v>
      </c>
      <c r="M249" s="3">
        <v>104</v>
      </c>
    </row>
    <row r="250" spans="11:13" x14ac:dyDescent="0.25">
      <c r="K250" s="51">
        <v>9338254.5</v>
      </c>
      <c r="M250" s="3">
        <v>8917252.1300000008</v>
      </c>
    </row>
    <row r="251" spans="11:13" ht="18.75" customHeight="1" x14ac:dyDescent="0.25">
      <c r="K251" s="51">
        <v>1307355.6400000001</v>
      </c>
      <c r="M251" s="3">
        <v>1248415.3199999998</v>
      </c>
    </row>
    <row r="252" spans="11:13" x14ac:dyDescent="0.25">
      <c r="K252" s="51">
        <v>186765.09999999998</v>
      </c>
      <c r="M252" s="3">
        <v>178345.06</v>
      </c>
    </row>
    <row r="253" spans="11:13" ht="19.5" customHeight="1" x14ac:dyDescent="0.25">
      <c r="K253" s="51" t="s">
        <v>43</v>
      </c>
      <c r="M253" s="3">
        <v>0</v>
      </c>
    </row>
    <row r="254" spans="11:13" x14ac:dyDescent="0.25">
      <c r="K254" s="51">
        <v>0</v>
      </c>
      <c r="M254" s="3">
        <v>0</v>
      </c>
    </row>
    <row r="255" spans="11:13" ht="18.75" customHeight="1" x14ac:dyDescent="0.25">
      <c r="K255" s="51">
        <v>0</v>
      </c>
      <c r="M255" s="3">
        <v>0</v>
      </c>
    </row>
    <row r="256" spans="11:13" x14ac:dyDescent="0.25">
      <c r="K256" s="51">
        <v>0</v>
      </c>
      <c r="M256" s="3">
        <v>0</v>
      </c>
    </row>
    <row r="257" spans="11:13" x14ac:dyDescent="0.25">
      <c r="K257" s="51">
        <v>1</v>
      </c>
      <c r="M257" s="3">
        <v>1</v>
      </c>
    </row>
    <row r="258" spans="11:13" x14ac:dyDescent="0.25">
      <c r="K258" s="51">
        <v>111691</v>
      </c>
      <c r="M258" s="3">
        <v>34054.5</v>
      </c>
    </row>
    <row r="259" spans="11:13" x14ac:dyDescent="0.25">
      <c r="K259" s="51">
        <v>53611.68</v>
      </c>
      <c r="M259" s="3">
        <v>16346.16</v>
      </c>
    </row>
    <row r="260" spans="11:13" x14ac:dyDescent="0.25">
      <c r="K260" s="51">
        <v>2233.8199999999997</v>
      </c>
      <c r="M260" s="3">
        <v>681.09</v>
      </c>
    </row>
    <row r="261" spans="11:13" ht="18.75" customHeight="1" x14ac:dyDescent="0.25">
      <c r="K261" s="51">
        <v>4.92</v>
      </c>
      <c r="M261" s="3">
        <v>6.92</v>
      </c>
    </row>
    <row r="262" spans="11:13" x14ac:dyDescent="0.25">
      <c r="K262" s="51">
        <v>314459.87</v>
      </c>
      <c r="M262" s="3">
        <v>326911.28000000003</v>
      </c>
    </row>
    <row r="263" spans="11:13" ht="18" customHeight="1" x14ac:dyDescent="0.25">
      <c r="K263" s="51">
        <v>44024.39</v>
      </c>
      <c r="M263" s="3">
        <v>45767.57</v>
      </c>
    </row>
    <row r="264" spans="11:13" x14ac:dyDescent="0.25">
      <c r="K264" s="51">
        <v>6289.2</v>
      </c>
      <c r="M264" s="3">
        <v>6538.24</v>
      </c>
    </row>
    <row r="265" spans="11:13" ht="18.75" customHeight="1" x14ac:dyDescent="0.25">
      <c r="K265" s="51"/>
    </row>
    <row r="266" spans="11:13" x14ac:dyDescent="0.25">
      <c r="K266" s="51"/>
    </row>
    <row r="267" spans="11:13" ht="19.5" customHeight="1" x14ac:dyDescent="0.25">
      <c r="K267" s="51"/>
    </row>
    <row r="268" spans="11:13" x14ac:dyDescent="0.25">
      <c r="K268" s="51"/>
    </row>
    <row r="269" spans="11:13" ht="19.5" customHeight="1" x14ac:dyDescent="0.25">
      <c r="K269" s="51"/>
    </row>
    <row r="270" spans="11:13" x14ac:dyDescent="0.25">
      <c r="K270" s="51"/>
    </row>
    <row r="271" spans="11:13" ht="18.75" customHeight="1" x14ac:dyDescent="0.25">
      <c r="K271" s="51"/>
    </row>
    <row r="272" spans="11:13" x14ac:dyDescent="0.25">
      <c r="K272" s="51"/>
    </row>
    <row r="273" spans="6:11" ht="18.75" customHeight="1" x14ac:dyDescent="0.25">
      <c r="K273" s="51"/>
    </row>
    <row r="274" spans="6:11" x14ac:dyDescent="0.25">
      <c r="F274" s="18"/>
      <c r="K274" s="51"/>
    </row>
    <row r="275" spans="6:11" ht="18.75" customHeight="1" x14ac:dyDescent="0.25">
      <c r="K275" s="51"/>
    </row>
    <row r="276" spans="6:11" x14ac:dyDescent="0.25">
      <c r="K276" s="51"/>
    </row>
    <row r="277" spans="6:11" ht="19.5" customHeight="1" x14ac:dyDescent="0.25">
      <c r="K277" s="51"/>
    </row>
    <row r="278" spans="6:11" x14ac:dyDescent="0.25">
      <c r="K278" s="51"/>
    </row>
    <row r="279" spans="6:11" x14ac:dyDescent="0.25">
      <c r="K279" s="51"/>
    </row>
    <row r="280" spans="6:11" x14ac:dyDescent="0.25">
      <c r="K280" s="51"/>
    </row>
    <row r="281" spans="6:11" x14ac:dyDescent="0.25">
      <c r="K281" s="51"/>
    </row>
    <row r="282" spans="6:11" x14ac:dyDescent="0.25">
      <c r="K282" s="51"/>
    </row>
    <row r="283" spans="6:11" ht="19.5" customHeight="1" x14ac:dyDescent="0.25">
      <c r="K283" s="51"/>
    </row>
    <row r="284" spans="6:11" x14ac:dyDescent="0.25">
      <c r="K284" s="51"/>
    </row>
    <row r="285" spans="6:11" ht="18.75" customHeight="1" x14ac:dyDescent="0.25">
      <c r="K285" s="51"/>
    </row>
    <row r="286" spans="6:11" x14ac:dyDescent="0.25">
      <c r="K286" s="51"/>
    </row>
    <row r="291" spans="11:11" ht="18.75" customHeight="1" x14ac:dyDescent="0.25">
      <c r="K291" s="51"/>
    </row>
    <row r="292" spans="11:11" x14ac:dyDescent="0.25">
      <c r="K292" s="51"/>
    </row>
    <row r="293" spans="11:11" ht="18.75" customHeight="1" x14ac:dyDescent="0.25">
      <c r="K293" s="51"/>
    </row>
    <row r="294" spans="11:11" x14ac:dyDescent="0.25">
      <c r="K294" s="51"/>
    </row>
    <row r="295" spans="11:11" ht="19.5" customHeight="1" x14ac:dyDescent="0.25">
      <c r="K295" s="51"/>
    </row>
    <row r="296" spans="11:11" x14ac:dyDescent="0.25">
      <c r="K296" s="51"/>
    </row>
    <row r="297" spans="11:11" ht="18.75" customHeight="1" x14ac:dyDescent="0.25">
      <c r="K297" s="51"/>
    </row>
    <row r="298" spans="11:11" x14ac:dyDescent="0.25">
      <c r="K298" s="51"/>
    </row>
    <row r="299" spans="11:11" ht="18.75" customHeight="1" x14ac:dyDescent="0.25">
      <c r="K299" s="51"/>
    </row>
    <row r="300" spans="11:11" x14ac:dyDescent="0.25">
      <c r="K300" s="51"/>
    </row>
    <row r="301" spans="11:11" ht="18.75" customHeight="1" x14ac:dyDescent="0.25">
      <c r="K301" s="51"/>
    </row>
    <row r="302" spans="11:11" x14ac:dyDescent="0.25">
      <c r="K302" s="51"/>
    </row>
    <row r="303" spans="11:11" ht="19.5" customHeight="1" x14ac:dyDescent="0.25">
      <c r="K303" s="51"/>
    </row>
    <row r="304" spans="11:11" x14ac:dyDescent="0.25">
      <c r="K304" s="51"/>
    </row>
    <row r="305" spans="8:13" x14ac:dyDescent="0.25">
      <c r="K305" s="51"/>
    </row>
    <row r="306" spans="8:13" x14ac:dyDescent="0.25">
      <c r="K306" s="51"/>
    </row>
    <row r="307" spans="8:13" x14ac:dyDescent="0.25">
      <c r="K307" s="51"/>
    </row>
    <row r="308" spans="8:13" x14ac:dyDescent="0.25">
      <c r="K308" s="51"/>
    </row>
    <row r="309" spans="8:13" ht="19.5" customHeight="1" x14ac:dyDescent="0.25">
      <c r="K309" s="51"/>
    </row>
    <row r="310" spans="8:13" x14ac:dyDescent="0.25">
      <c r="K310" s="51"/>
    </row>
    <row r="311" spans="8:13" ht="18.75" customHeight="1" x14ac:dyDescent="0.25">
      <c r="K311" s="51"/>
    </row>
    <row r="312" spans="8:13" x14ac:dyDescent="0.25">
      <c r="K312" s="51"/>
    </row>
    <row r="317" spans="8:13" ht="19.5" customHeight="1" x14ac:dyDescent="0.25">
      <c r="K317" s="51"/>
    </row>
    <row r="318" spans="8:13" x14ac:dyDescent="0.25">
      <c r="K318" s="51"/>
    </row>
    <row r="319" spans="8:13" ht="18.75" customHeight="1" x14ac:dyDescent="0.25">
      <c r="H319" s="3">
        <v>1223.5999999999999</v>
      </c>
      <c r="I319" s="3">
        <v>1229.2</v>
      </c>
      <c r="J319" s="3">
        <v>1233.56</v>
      </c>
      <c r="K319" s="51">
        <v>1234.8</v>
      </c>
      <c r="M319" s="3">
        <v>1236.1600000000001</v>
      </c>
    </row>
    <row r="320" spans="8:13" x14ac:dyDescent="0.25">
      <c r="H320" s="3">
        <v>72610201.850000009</v>
      </c>
      <c r="I320" s="3">
        <v>66303288.880000003</v>
      </c>
      <c r="J320" s="3">
        <v>79545430.960000008</v>
      </c>
      <c r="K320" s="51">
        <v>79596705.797142848</v>
      </c>
      <c r="M320" s="3">
        <v>69951215.810000002</v>
      </c>
    </row>
    <row r="321" spans="6:16" ht="20.25" customHeight="1" x14ac:dyDescent="0.25">
      <c r="H321" s="3">
        <v>10240022.49</v>
      </c>
      <c r="I321" s="3">
        <v>9391440.5299999993</v>
      </c>
      <c r="J321" s="3">
        <v>11247458.359999998</v>
      </c>
      <c r="K321" s="51">
        <v>11276011.699999999</v>
      </c>
      <c r="M321" s="3">
        <v>9850456.2199999988</v>
      </c>
      <c r="P321" s="3">
        <f>P9+P35+P61+P87+P113+P139+P165+P191+P217+P243+P269+P295</f>
        <v>0</v>
      </c>
    </row>
    <row r="322" spans="6:16" x14ac:dyDescent="0.25">
      <c r="H322" s="3">
        <v>1452204.1800000004</v>
      </c>
      <c r="I322" s="3">
        <v>1326065.8500000001</v>
      </c>
      <c r="J322" s="3">
        <v>1590908.6999999997</v>
      </c>
      <c r="K322" s="51">
        <v>1591934.18</v>
      </c>
      <c r="M322" s="3">
        <v>1399024.49</v>
      </c>
    </row>
    <row r="323" spans="6:16" ht="18.75" customHeight="1" x14ac:dyDescent="0.25">
      <c r="H323" s="3">
        <v>225</v>
      </c>
      <c r="I323" s="3">
        <v>225</v>
      </c>
      <c r="J323" s="3">
        <v>225</v>
      </c>
      <c r="K323" s="51">
        <v>225</v>
      </c>
      <c r="M323" s="3">
        <v>225</v>
      </c>
    </row>
    <row r="324" spans="6:16" ht="16.5" customHeight="1" x14ac:dyDescent="0.25">
      <c r="H324" s="3">
        <v>4938818</v>
      </c>
      <c r="I324" s="3">
        <v>4941514.05</v>
      </c>
      <c r="J324" s="3">
        <v>5451780</v>
      </c>
      <c r="K324" s="51">
        <v>5054403.05</v>
      </c>
      <c r="M324" s="3">
        <v>4674521</v>
      </c>
    </row>
    <row r="325" spans="6:16" ht="18.75" customHeight="1" x14ac:dyDescent="0.25">
      <c r="H325" s="3">
        <v>691434.52</v>
      </c>
      <c r="I325" s="3">
        <v>691811.97</v>
      </c>
      <c r="J325" s="3">
        <v>763249.20000000007</v>
      </c>
      <c r="K325" s="51">
        <v>707616.43</v>
      </c>
      <c r="M325" s="3">
        <v>654432.94000000006</v>
      </c>
    </row>
    <row r="326" spans="6:16" x14ac:dyDescent="0.25">
      <c r="H326" s="3">
        <v>98776.360000000015</v>
      </c>
      <c r="I326" s="3">
        <v>98830.28</v>
      </c>
      <c r="J326" s="3">
        <v>109035.60000000002</v>
      </c>
      <c r="K326" s="51">
        <v>101088.06</v>
      </c>
      <c r="M326" s="3">
        <v>93490.42</v>
      </c>
    </row>
    <row r="327" spans="6:16" ht="21" customHeight="1" x14ac:dyDescent="0.25">
      <c r="H327" s="3">
        <v>939.8</v>
      </c>
      <c r="I327" s="3">
        <v>944.2</v>
      </c>
      <c r="J327" s="3">
        <v>948</v>
      </c>
      <c r="K327" s="51">
        <v>949.19999999999993</v>
      </c>
      <c r="M327" s="3">
        <v>950.8</v>
      </c>
    </row>
    <row r="328" spans="6:16" x14ac:dyDescent="0.25">
      <c r="H328" s="3">
        <v>66049173.530000001</v>
      </c>
      <c r="I328" s="3">
        <v>59257781.670000002</v>
      </c>
      <c r="J328" s="3">
        <v>72081330.769999996</v>
      </c>
      <c r="K328" s="51">
        <v>72632559.21714285</v>
      </c>
      <c r="M328" s="3">
        <v>63589452.25</v>
      </c>
    </row>
    <row r="329" spans="6:16" ht="18.75" customHeight="1" x14ac:dyDescent="0.25">
      <c r="H329" s="3">
        <v>9246884.3800000008</v>
      </c>
      <c r="I329" s="3">
        <v>8296089.4900000002</v>
      </c>
      <c r="J329" s="3">
        <v>10091386.399999999</v>
      </c>
      <c r="K329" s="51">
        <v>10168558.340000002</v>
      </c>
      <c r="M329" s="3">
        <v>8902523.4299999997</v>
      </c>
    </row>
    <row r="330" spans="6:16" x14ac:dyDescent="0.25">
      <c r="H330" s="3">
        <v>1320983.6000000001</v>
      </c>
      <c r="I330" s="3">
        <v>1185155.69</v>
      </c>
      <c r="J330" s="3">
        <v>1441626.6999999997</v>
      </c>
      <c r="K330" s="51">
        <v>1452651.2599999998</v>
      </c>
      <c r="M330" s="3">
        <v>1271789.1600000001</v>
      </c>
    </row>
    <row r="331" spans="6:16" x14ac:dyDescent="0.25">
      <c r="F331" s="3">
        <v>0</v>
      </c>
      <c r="H331" s="51" t="s">
        <v>43</v>
      </c>
      <c r="I331" s="51" t="s">
        <v>43</v>
      </c>
      <c r="J331" s="51" t="s">
        <v>43</v>
      </c>
      <c r="K331" s="51" t="s">
        <v>43</v>
      </c>
      <c r="M331" s="3" t="s">
        <v>13</v>
      </c>
    </row>
    <row r="332" spans="6:16" x14ac:dyDescent="0.25">
      <c r="H332" s="3">
        <v>0</v>
      </c>
      <c r="I332" s="3">
        <v>0</v>
      </c>
      <c r="J332" s="3">
        <v>0</v>
      </c>
      <c r="K332" s="51">
        <v>0</v>
      </c>
      <c r="M332" s="3">
        <v>0</v>
      </c>
    </row>
    <row r="333" spans="6:16" x14ac:dyDescent="0.25">
      <c r="H333" s="3">
        <v>0</v>
      </c>
      <c r="I333" s="3">
        <v>0</v>
      </c>
      <c r="J333" s="3">
        <v>0</v>
      </c>
      <c r="K333" s="51">
        <v>0</v>
      </c>
      <c r="M333" s="3">
        <v>0</v>
      </c>
    </row>
    <row r="334" spans="6:16" x14ac:dyDescent="0.25">
      <c r="H334" s="3">
        <v>0</v>
      </c>
      <c r="I334" s="3">
        <v>0</v>
      </c>
      <c r="J334" s="3">
        <v>0</v>
      </c>
      <c r="K334" s="51">
        <v>0</v>
      </c>
      <c r="M334" s="3">
        <v>0</v>
      </c>
    </row>
    <row r="335" spans="6:16" x14ac:dyDescent="0.25">
      <c r="H335" s="3">
        <v>7</v>
      </c>
      <c r="I335" s="3">
        <v>7</v>
      </c>
      <c r="J335" s="3">
        <v>7.04</v>
      </c>
      <c r="K335" s="51">
        <v>5.16</v>
      </c>
      <c r="M335" s="3">
        <v>4.92</v>
      </c>
    </row>
    <row r="336" spans="6:16" x14ac:dyDescent="0.25">
      <c r="H336" s="3">
        <v>219394.5</v>
      </c>
      <c r="I336" s="3">
        <v>320529.5</v>
      </c>
      <c r="J336" s="3">
        <v>326758.5</v>
      </c>
      <c r="K336" s="51">
        <v>389626</v>
      </c>
      <c r="M336" s="3">
        <v>168488</v>
      </c>
    </row>
    <row r="337" spans="8:13" x14ac:dyDescent="0.25">
      <c r="H337" s="3">
        <v>105309.36</v>
      </c>
      <c r="I337" s="3">
        <v>153854.16</v>
      </c>
      <c r="J337" s="3">
        <v>156844.07999999999</v>
      </c>
      <c r="K337" s="51">
        <v>187020.47999999998</v>
      </c>
      <c r="M337" s="3">
        <v>80874.240000000005</v>
      </c>
    </row>
    <row r="338" spans="8:13" x14ac:dyDescent="0.25">
      <c r="H338" s="3">
        <v>4387.8900000000003</v>
      </c>
      <c r="I338" s="3">
        <v>6410.59</v>
      </c>
      <c r="J338" s="3">
        <v>6535.17</v>
      </c>
      <c r="K338" s="51">
        <v>7792.52</v>
      </c>
      <c r="M338" s="3">
        <v>3369.76</v>
      </c>
    </row>
    <row r="339" spans="8:13" x14ac:dyDescent="0.25">
      <c r="H339" s="3">
        <v>51.8</v>
      </c>
      <c r="I339" s="3">
        <v>53</v>
      </c>
      <c r="J339" s="3">
        <v>53.52</v>
      </c>
      <c r="K339" s="51">
        <v>55.44</v>
      </c>
      <c r="M339" s="3">
        <v>57.44</v>
      </c>
    </row>
    <row r="340" spans="8:13" x14ac:dyDescent="0.25">
      <c r="H340" s="3">
        <v>1402815.82</v>
      </c>
      <c r="I340" s="3">
        <v>1783463.6600000004</v>
      </c>
      <c r="J340" s="3">
        <v>1685561.69</v>
      </c>
      <c r="K340" s="51">
        <v>1520117.5</v>
      </c>
      <c r="M340" s="3">
        <v>1518754.56</v>
      </c>
    </row>
    <row r="341" spans="8:13" x14ac:dyDescent="0.25">
      <c r="H341" s="3">
        <v>196394.22999999998</v>
      </c>
      <c r="I341" s="3">
        <v>249684.91000000003</v>
      </c>
      <c r="J341" s="3">
        <v>235978.68</v>
      </c>
      <c r="K341" s="51">
        <v>212816.45</v>
      </c>
      <c r="M341" s="3">
        <v>212625.61000000002</v>
      </c>
    </row>
    <row r="342" spans="8:13" x14ac:dyDescent="0.25">
      <c r="H342" s="3">
        <v>28056.329999999998</v>
      </c>
      <c r="I342" s="3">
        <v>35669.29</v>
      </c>
      <c r="J342" s="3">
        <v>33711.229999999996</v>
      </c>
      <c r="K342" s="51">
        <v>30402.340000000004</v>
      </c>
      <c r="M342" s="3">
        <v>30375.15</v>
      </c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2016-17</vt:lpstr>
      <vt:lpstr>Footnotes</vt:lpstr>
      <vt:lpstr>Footnotes!Print_Area</vt:lpstr>
      <vt:lpstr>'FY 2016-17'!Print_Area</vt:lpstr>
      <vt:lpstr>'FY 2016-17'!Print_Titles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pgcb</dc:creator>
  <cp:lastModifiedBy>Hand, Kristin (PGCB)</cp:lastModifiedBy>
  <cp:lastPrinted>2018-01-16T15:46:21Z</cp:lastPrinted>
  <dcterms:created xsi:type="dcterms:W3CDTF">2016-07-14T13:53:17Z</dcterms:created>
  <dcterms:modified xsi:type="dcterms:W3CDTF">2018-01-16T15:46:28Z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2016-17 Table Games Monthly Revenue Report.xlsx</vt:lpwstr>
  </property>
</Properties>
</file>