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krhand\AppData\Local\Microsoft\Windows\Temporary Internet Files\Content.Outlook\79TLPV2E\"/>
    </mc:Choice>
  </mc:AlternateContent>
  <bookViews>
    <workbookView xWindow="1515" yWindow="5925" windowWidth="15480" windowHeight="5865" firstSheet="33" activeTab="33"/>
  </bookViews>
  <sheets>
    <sheet name="Weekly" sheetId="1" state="hidden" r:id="rId1"/>
    <sheet name="Nov 6" sheetId="7" state="hidden" r:id="rId2"/>
    <sheet name="Nov 13" sheetId="2" state="hidden" r:id="rId3"/>
    <sheet name="Nov 20" sheetId="4" state="hidden" r:id="rId4"/>
    <sheet name="Nov 27" sheetId="5" state="hidden" r:id="rId5"/>
    <sheet name="Dec 4" sheetId="6" state="hidden" r:id="rId6"/>
    <sheet name="Dec 11" sheetId="8" state="hidden" r:id="rId7"/>
    <sheet name="Dec 18" sheetId="9" state="hidden" r:id="rId8"/>
    <sheet name="Dec 25" sheetId="10" state="hidden" r:id="rId9"/>
    <sheet name="Jan 1" sheetId="11" state="hidden" r:id="rId10"/>
    <sheet name="Jan 8" sheetId="12" state="hidden" r:id="rId11"/>
    <sheet name="Jan 15" sheetId="13" state="hidden" r:id="rId12"/>
    <sheet name="Jan22" sheetId="14" state="hidden" r:id="rId13"/>
    <sheet name="Jan 29" sheetId="15" state="hidden" r:id="rId14"/>
    <sheet name="Feb 5" sheetId="16" state="hidden" r:id="rId15"/>
    <sheet name="Feb 12" sheetId="17" state="hidden" r:id="rId16"/>
    <sheet name="Feb 19" sheetId="18" state="hidden" r:id="rId17"/>
    <sheet name="Feb 26" sheetId="19" state="hidden" r:id="rId18"/>
    <sheet name="Mar 5" sheetId="20" state="hidden" r:id="rId19"/>
    <sheet name="Mar 12" sheetId="21" state="hidden" r:id="rId20"/>
    <sheet name="Mar 19" sheetId="22" state="hidden" r:id="rId21"/>
    <sheet name="Mar 26" sheetId="23" state="hidden" r:id="rId22"/>
    <sheet name="April 2" sheetId="24" state="hidden" r:id="rId23"/>
    <sheet name="April 9" sheetId="25" state="hidden" r:id="rId24"/>
    <sheet name="April 16" sheetId="26" state="hidden" r:id="rId25"/>
    <sheet name="April 23" sheetId="28" state="hidden" r:id="rId26"/>
    <sheet name="April 30" sheetId="29" state="hidden" r:id="rId27"/>
    <sheet name="May 7" sheetId="30" state="hidden" r:id="rId28"/>
    <sheet name="May 14" sheetId="31" state="hidden" r:id="rId29"/>
    <sheet name="June 25" sheetId="37" state="hidden" r:id="rId30"/>
    <sheet name="June 18" sheetId="36" state="hidden" r:id="rId31"/>
    <sheet name="July 2" sheetId="38" state="hidden" r:id="rId32"/>
    <sheet name="July 23" sheetId="41" state="hidden" r:id="rId33"/>
    <sheet name="FY 2015-16" sheetId="45" r:id="rId34"/>
    <sheet name="July 30" sheetId="42" state="hidden" r:id="rId35"/>
    <sheet name="July 16" sheetId="40" state="hidden" r:id="rId36"/>
    <sheet name="July 9" sheetId="39" state="hidden" r:id="rId37"/>
    <sheet name="June 11" sheetId="35" state="hidden" r:id="rId38"/>
    <sheet name="June 4" sheetId="34" state="hidden" r:id="rId39"/>
    <sheet name="May 28" sheetId="33" state="hidden" r:id="rId40"/>
    <sheet name="May 21" sheetId="32" state="hidden" r:id="rId41"/>
    <sheet name="Annual" sheetId="3" state="hidden" r:id="rId42"/>
    <sheet name="Footnotes" sheetId="48" r:id="rId43"/>
  </sheets>
  <definedNames>
    <definedName name="_xlnm.Print_Area" localSheetId="16">'Feb 19'!$A$7:$F$61</definedName>
    <definedName name="_xlnm.Print_Area" localSheetId="42">Footnotes!$A$1:$F$7</definedName>
    <definedName name="_xlnm.Print_Area" localSheetId="33">'FY 2015-16'!$A$1:$P$306</definedName>
    <definedName name="_xlnm.Print_Area" localSheetId="38">'June 4'!$A$7:$F$72</definedName>
    <definedName name="_xlnm.Print_Area" localSheetId="19">'Mar 12'!$A$7:$F$61</definedName>
    <definedName name="_xlnm.Print_Titles" localSheetId="16">'Feb 19'!$1:$6</definedName>
    <definedName name="_xlnm.Print_Titles" localSheetId="33">'FY 2015-16'!$A:$A,'FY 2015-16'!$1:$4</definedName>
    <definedName name="_xlnm.Print_Titles" localSheetId="38">'June 4'!$1:$5</definedName>
    <definedName name="_xlnm.Print_Titles" localSheetId="19">'Mar 12'!$1:$6</definedName>
  </definedNames>
  <calcPr calcId="152511" calcMode="manual"/>
</workbook>
</file>

<file path=xl/calcChain.xml><?xml version="1.0" encoding="utf-8"?>
<calcChain xmlns="http://schemas.openxmlformats.org/spreadsheetml/2006/main">
  <c r="O306" i="45" l="1"/>
  <c r="O305" i="45"/>
  <c r="O304" i="45"/>
  <c r="O302" i="45"/>
  <c r="O301" i="45"/>
  <c r="O300" i="45"/>
  <c r="F299" i="45"/>
  <c r="E299" i="45"/>
  <c r="C299" i="45"/>
  <c r="B299" i="45"/>
  <c r="O298" i="45"/>
  <c r="O297" i="45"/>
  <c r="O296" i="45"/>
  <c r="O294" i="45"/>
  <c r="O293" i="45"/>
  <c r="O292" i="45"/>
  <c r="F291" i="45"/>
  <c r="O290" i="45"/>
  <c r="O289" i="45"/>
  <c r="O288" i="45"/>
  <c r="F287" i="45"/>
  <c r="O286" i="45"/>
  <c r="O285" i="45"/>
  <c r="O284" i="45"/>
  <c r="O280" i="45"/>
  <c r="P280" i="45" s="1"/>
  <c r="P279" i="45"/>
  <c r="O279" i="45"/>
  <c r="O278" i="45"/>
  <c r="P278" i="45" s="1"/>
  <c r="O276" i="45"/>
  <c r="P276" i="45" s="1"/>
  <c r="O275" i="45"/>
  <c r="P275" i="45" s="1"/>
  <c r="O274" i="45"/>
  <c r="P274" i="45" s="1"/>
  <c r="O272" i="45"/>
  <c r="P272" i="45" s="1"/>
  <c r="O271" i="45"/>
  <c r="P271" i="45" s="1"/>
  <c r="O270" i="45"/>
  <c r="P270" i="45" s="1"/>
  <c r="O268" i="45"/>
  <c r="P268" i="45" s="1"/>
  <c r="O267" i="45"/>
  <c r="P267" i="45" s="1"/>
  <c r="O266" i="45"/>
  <c r="P266" i="45" s="1"/>
  <c r="O264" i="45"/>
  <c r="P264" i="45" s="1"/>
  <c r="O263" i="45"/>
  <c r="P263" i="45" s="1"/>
  <c r="O262" i="45"/>
  <c r="P262" i="45" s="1"/>
  <c r="P258" i="45"/>
  <c r="O258" i="45"/>
  <c r="O257" i="45"/>
  <c r="P257" i="45" s="1"/>
  <c r="P256" i="45"/>
  <c r="O256" i="45"/>
  <c r="O254" i="45"/>
  <c r="P254" i="45" s="1"/>
  <c r="O253" i="45"/>
  <c r="P253" i="45" s="1"/>
  <c r="O252" i="45"/>
  <c r="P252" i="45" s="1"/>
  <c r="O250" i="45"/>
  <c r="P250" i="45" s="1"/>
  <c r="O249" i="45"/>
  <c r="P249" i="45" s="1"/>
  <c r="P248" i="45"/>
  <c r="O248" i="45"/>
  <c r="O246" i="45"/>
  <c r="P246" i="45" s="1"/>
  <c r="O245" i="45"/>
  <c r="P245" i="45" s="1"/>
  <c r="O244" i="45"/>
  <c r="P244" i="45" s="1"/>
  <c r="P242" i="45"/>
  <c r="O242" i="45"/>
  <c r="O241" i="45"/>
  <c r="P241" i="45" s="1"/>
  <c r="O240" i="45"/>
  <c r="P240" i="45" s="1"/>
  <c r="O236" i="45"/>
  <c r="P236" i="45" s="1"/>
  <c r="P235" i="45"/>
  <c r="O235" i="45"/>
  <c r="O234" i="45"/>
  <c r="P234" i="45" s="1"/>
  <c r="O232" i="45"/>
  <c r="P232" i="45" s="1"/>
  <c r="O231" i="45"/>
  <c r="P231" i="45" s="1"/>
  <c r="O230" i="45"/>
  <c r="P230" i="45" s="1"/>
  <c r="O228" i="45"/>
  <c r="P228" i="45" s="1"/>
  <c r="O227" i="45"/>
  <c r="P227" i="45" s="1"/>
  <c r="O226" i="45"/>
  <c r="P226" i="45" s="1"/>
  <c r="O224" i="45"/>
  <c r="P224" i="45" s="1"/>
  <c r="O223" i="45"/>
  <c r="P223" i="45" s="1"/>
  <c r="O222" i="45"/>
  <c r="P222" i="45" s="1"/>
  <c r="O220" i="45"/>
  <c r="P220" i="45" s="1"/>
  <c r="O219" i="45"/>
  <c r="P219" i="45" s="1"/>
  <c r="O218" i="45"/>
  <c r="P218" i="45" s="1"/>
  <c r="O214" i="45"/>
  <c r="P214" i="45" s="1"/>
  <c r="O213" i="45"/>
  <c r="P213" i="45" s="1"/>
  <c r="O212" i="45"/>
  <c r="P212" i="45" s="1"/>
  <c r="O210" i="45"/>
  <c r="P210" i="45" s="1"/>
  <c r="O209" i="45"/>
  <c r="P209" i="45" s="1"/>
  <c r="O208" i="45"/>
  <c r="P208" i="45" s="1"/>
  <c r="O206" i="45"/>
  <c r="P206" i="45" s="1"/>
  <c r="O205" i="45"/>
  <c r="P205" i="45" s="1"/>
  <c r="O204" i="45"/>
  <c r="P204" i="45" s="1"/>
  <c r="O202" i="45"/>
  <c r="P202" i="45" s="1"/>
  <c r="O201" i="45"/>
  <c r="P201" i="45" s="1"/>
  <c r="O200" i="45"/>
  <c r="P200" i="45" s="1"/>
  <c r="O198" i="45"/>
  <c r="P198" i="45" s="1"/>
  <c r="O197" i="45"/>
  <c r="P197" i="45" s="1"/>
  <c r="O196" i="45"/>
  <c r="P196" i="45" s="1"/>
  <c r="O192" i="45"/>
  <c r="P192" i="45" s="1"/>
  <c r="O191" i="45"/>
  <c r="P191" i="45" s="1"/>
  <c r="O190" i="45"/>
  <c r="P190" i="45" s="1"/>
  <c r="O188" i="45"/>
  <c r="P188" i="45" s="1"/>
  <c r="O187" i="45"/>
  <c r="P187" i="45" s="1"/>
  <c r="O186" i="45"/>
  <c r="P186" i="45" s="1"/>
  <c r="O184" i="45"/>
  <c r="P184" i="45" s="1"/>
  <c r="O183" i="45"/>
  <c r="P183" i="45" s="1"/>
  <c r="O182" i="45"/>
  <c r="P182" i="45" s="1"/>
  <c r="O180" i="45"/>
  <c r="P180" i="45" s="1"/>
  <c r="O179" i="45"/>
  <c r="P179" i="45" s="1"/>
  <c r="O178" i="45"/>
  <c r="P178" i="45" s="1"/>
  <c r="O176" i="45"/>
  <c r="P176" i="45" s="1"/>
  <c r="O175" i="45"/>
  <c r="P175" i="45" s="1"/>
  <c r="O174" i="45"/>
  <c r="P174" i="45" s="1"/>
  <c r="O170" i="45"/>
  <c r="P170" i="45" s="1"/>
  <c r="O169" i="45"/>
  <c r="P169" i="45" s="1"/>
  <c r="O168" i="45"/>
  <c r="P168" i="45" s="1"/>
  <c r="O166" i="45"/>
  <c r="P166" i="45" s="1"/>
  <c r="O165" i="45"/>
  <c r="P165" i="45" s="1"/>
  <c r="O164" i="45"/>
  <c r="P164" i="45" s="1"/>
  <c r="O162" i="45"/>
  <c r="P162" i="45" s="1"/>
  <c r="O161" i="45"/>
  <c r="P161" i="45" s="1"/>
  <c r="O160" i="45"/>
  <c r="P160" i="45" s="1"/>
  <c r="O158" i="45"/>
  <c r="P158" i="45" s="1"/>
  <c r="O157" i="45"/>
  <c r="P157" i="45" s="1"/>
  <c r="O156" i="45"/>
  <c r="P156" i="45" s="1"/>
  <c r="O154" i="45"/>
  <c r="P154" i="45" s="1"/>
  <c r="O153" i="45"/>
  <c r="P153" i="45" s="1"/>
  <c r="O152" i="45"/>
  <c r="P152" i="45" s="1"/>
  <c r="O148" i="45"/>
  <c r="P148" i="45" s="1"/>
  <c r="O147" i="45"/>
  <c r="P147" i="45" s="1"/>
  <c r="O146" i="45"/>
  <c r="P146" i="45" s="1"/>
  <c r="O144" i="45"/>
  <c r="P144" i="45" s="1"/>
  <c r="O143" i="45"/>
  <c r="P143" i="45" s="1"/>
  <c r="O142" i="45"/>
  <c r="P142" i="45" s="1"/>
  <c r="O140" i="45"/>
  <c r="P140" i="45" s="1"/>
  <c r="O139" i="45"/>
  <c r="P139" i="45" s="1"/>
  <c r="O138" i="45"/>
  <c r="P138" i="45" s="1"/>
  <c r="O136" i="45"/>
  <c r="P136" i="45" s="1"/>
  <c r="O135" i="45"/>
  <c r="P135" i="45" s="1"/>
  <c r="O134" i="45"/>
  <c r="P134" i="45" s="1"/>
  <c r="O132" i="45"/>
  <c r="P132" i="45" s="1"/>
  <c r="O131" i="45"/>
  <c r="P131" i="45" s="1"/>
  <c r="O130" i="45"/>
  <c r="P130" i="45" s="1"/>
  <c r="O126" i="45"/>
  <c r="P126" i="45" s="1"/>
  <c r="O125" i="45"/>
  <c r="P125" i="45" s="1"/>
  <c r="O124" i="45"/>
  <c r="P124" i="45" s="1"/>
  <c r="O122" i="45"/>
  <c r="P122" i="45" s="1"/>
  <c r="O121" i="45"/>
  <c r="P121" i="45" s="1"/>
  <c r="O120" i="45"/>
  <c r="P120" i="45" s="1"/>
  <c r="O118" i="45"/>
  <c r="P118" i="45" s="1"/>
  <c r="O117" i="45"/>
  <c r="P117" i="45" s="1"/>
  <c r="O116" i="45"/>
  <c r="P116" i="45" s="1"/>
  <c r="O114" i="45"/>
  <c r="P114" i="45" s="1"/>
  <c r="O113" i="45"/>
  <c r="P113" i="45" s="1"/>
  <c r="O112" i="45"/>
  <c r="P112" i="45" s="1"/>
  <c r="O110" i="45"/>
  <c r="P110" i="45" s="1"/>
  <c r="O109" i="45"/>
  <c r="P109" i="45" s="1"/>
  <c r="O108" i="45"/>
  <c r="P108" i="45" s="1"/>
  <c r="O104" i="45"/>
  <c r="P104" i="45" s="1"/>
  <c r="O103" i="45"/>
  <c r="P103" i="45" s="1"/>
  <c r="O102" i="45"/>
  <c r="P102" i="45" s="1"/>
  <c r="O100" i="45"/>
  <c r="P100" i="45" s="1"/>
  <c r="O99" i="45"/>
  <c r="P99" i="45" s="1"/>
  <c r="O98" i="45"/>
  <c r="P98" i="45" s="1"/>
  <c r="O96" i="45"/>
  <c r="P96" i="45" s="1"/>
  <c r="O95" i="45"/>
  <c r="P95" i="45" s="1"/>
  <c r="O94" i="45"/>
  <c r="P94" i="45" s="1"/>
  <c r="O92" i="45"/>
  <c r="P92" i="45" s="1"/>
  <c r="P91" i="45"/>
  <c r="O91" i="45"/>
  <c r="O90" i="45"/>
  <c r="P90" i="45" s="1"/>
  <c r="P88" i="45"/>
  <c r="O88" i="45"/>
  <c r="O87" i="45"/>
  <c r="P87" i="45" s="1"/>
  <c r="P86" i="45"/>
  <c r="O86" i="45"/>
  <c r="O82" i="45"/>
  <c r="P82" i="45" s="1"/>
  <c r="O81" i="45"/>
  <c r="P81" i="45" s="1"/>
  <c r="O80" i="45"/>
  <c r="P80" i="45" s="1"/>
  <c r="O78" i="45"/>
  <c r="P78" i="45" s="1"/>
  <c r="O77" i="45"/>
  <c r="P77" i="45" s="1"/>
  <c r="O76" i="45"/>
  <c r="P76" i="45" s="1"/>
  <c r="O74" i="45"/>
  <c r="P74" i="45" s="1"/>
  <c r="O73" i="45"/>
  <c r="P73" i="45" s="1"/>
  <c r="O72" i="45"/>
  <c r="P72" i="45" s="1"/>
  <c r="O70" i="45"/>
  <c r="P70" i="45" s="1"/>
  <c r="O69" i="45"/>
  <c r="P69" i="45" s="1"/>
  <c r="O68" i="45"/>
  <c r="P68" i="45" s="1"/>
  <c r="O66" i="45"/>
  <c r="P66" i="45" s="1"/>
  <c r="O65" i="45"/>
  <c r="P65" i="45" s="1"/>
  <c r="O64" i="45"/>
  <c r="P64" i="45" s="1"/>
  <c r="O62" i="45"/>
  <c r="P62" i="45" s="1"/>
  <c r="O61" i="45"/>
  <c r="P61" i="45" s="1"/>
  <c r="O60" i="45"/>
  <c r="P60" i="45" s="1"/>
  <c r="O56" i="45"/>
  <c r="P56" i="45" s="1"/>
  <c r="O55" i="45"/>
  <c r="P55" i="45" s="1"/>
  <c r="O54" i="45"/>
  <c r="P54" i="45" s="1"/>
  <c r="O52" i="45"/>
  <c r="P52" i="45" s="1"/>
  <c r="O51" i="45"/>
  <c r="P51" i="45" s="1"/>
  <c r="O50" i="45"/>
  <c r="P50" i="45" s="1"/>
  <c r="O48" i="45"/>
  <c r="P48" i="45" s="1"/>
  <c r="O47" i="45"/>
  <c r="P47" i="45" s="1"/>
  <c r="O46" i="45"/>
  <c r="P46" i="45" s="1"/>
  <c r="O44" i="45"/>
  <c r="P44" i="45" s="1"/>
  <c r="O43" i="45"/>
  <c r="P43" i="45" s="1"/>
  <c r="O42" i="45"/>
  <c r="P42" i="45" s="1"/>
  <c r="O40" i="45"/>
  <c r="P40" i="45" s="1"/>
  <c r="O39" i="45"/>
  <c r="P39" i="45" s="1"/>
  <c r="O38" i="45"/>
  <c r="P38" i="45" s="1"/>
  <c r="O36" i="45"/>
  <c r="P36" i="45" s="1"/>
  <c r="O35" i="45"/>
  <c r="P35" i="45" s="1"/>
  <c r="O34" i="45"/>
  <c r="P34" i="45" s="1"/>
  <c r="P30" i="45"/>
  <c r="O30" i="45"/>
  <c r="O29" i="45"/>
  <c r="P29" i="45" s="1"/>
  <c r="P28" i="45"/>
  <c r="O28" i="45"/>
  <c r="O26" i="45"/>
  <c r="P26" i="45" s="1"/>
  <c r="P25" i="45"/>
  <c r="O25" i="45"/>
  <c r="O24" i="45"/>
  <c r="P24" i="45" s="1"/>
  <c r="P22" i="45"/>
  <c r="O22" i="45"/>
  <c r="O21" i="45"/>
  <c r="P21" i="45" s="1"/>
  <c r="P20" i="45"/>
  <c r="O20" i="45"/>
  <c r="O18" i="45"/>
  <c r="P18" i="45" s="1"/>
  <c r="P17" i="45"/>
  <c r="O17" i="45"/>
  <c r="O16" i="45"/>
  <c r="P16" i="45" s="1"/>
  <c r="P14" i="45"/>
  <c r="O14" i="45"/>
  <c r="O13" i="45"/>
  <c r="P13" i="45" s="1"/>
  <c r="P12" i="45"/>
  <c r="O12" i="45"/>
  <c r="O10" i="45"/>
  <c r="P10" i="45" s="1"/>
  <c r="P9" i="45"/>
  <c r="O9" i="45"/>
  <c r="O8" i="45"/>
  <c r="P8" i="45" s="1"/>
  <c r="P297" i="45" l="1"/>
  <c r="P292" i="45"/>
  <c r="P302" i="45"/>
  <c r="P289" i="45"/>
  <c r="P286" i="45"/>
  <c r="P284" i="45"/>
  <c r="P294" i="45"/>
  <c r="P305" i="45"/>
  <c r="P290" i="45"/>
  <c r="P304" i="45"/>
  <c r="P306" i="45"/>
  <c r="P285" i="45"/>
  <c r="P296" i="45"/>
  <c r="P301" i="45"/>
  <c r="P288" i="45"/>
  <c r="P293" i="45"/>
  <c r="P298" i="45"/>
  <c r="P300" i="45"/>
  <c r="P306" i="48"/>
  <c r="P305" i="48"/>
  <c r="P304" i="48"/>
  <c r="O8" i="48"/>
  <c r="H69" i="42" l="1"/>
  <c r="H68" i="42"/>
  <c r="H58" i="42"/>
  <c r="H57" i="42"/>
  <c r="H48" i="42"/>
  <c r="H47" i="42"/>
  <c r="H36" i="42"/>
  <c r="H35" i="42"/>
  <c r="H25" i="42"/>
  <c r="H24" i="42"/>
  <c r="H14" i="42"/>
  <c r="H13" i="42"/>
  <c r="F69" i="42"/>
  <c r="F68" i="42"/>
  <c r="F58" i="42"/>
  <c r="F57" i="42"/>
  <c r="F48" i="42"/>
  <c r="F47" i="42"/>
  <c r="F36" i="42"/>
  <c r="F35" i="42"/>
  <c r="F25" i="42"/>
  <c r="F24" i="42"/>
  <c r="F14" i="42"/>
  <c r="F13" i="42"/>
  <c r="D69" i="42"/>
  <c r="D68" i="42"/>
  <c r="D58" i="42"/>
  <c r="D57" i="42"/>
  <c r="D48" i="42"/>
  <c r="D47" i="42"/>
  <c r="D36" i="42"/>
  <c r="D35" i="42"/>
  <c r="D25" i="42"/>
  <c r="D24" i="42"/>
  <c r="D14" i="42"/>
  <c r="D13" i="42"/>
  <c r="B67" i="42"/>
  <c r="B69" i="42" s="1"/>
  <c r="B56" i="42"/>
  <c r="B57" i="42" s="1"/>
  <c r="B46" i="42"/>
  <c r="B48" i="42" s="1"/>
  <c r="B23" i="42"/>
  <c r="B24" i="42" s="1"/>
  <c r="B34" i="42"/>
  <c r="B36" i="42" s="1"/>
  <c r="B12" i="42"/>
  <c r="B13" i="42" s="1"/>
  <c r="B70" i="42"/>
  <c r="H68" i="37"/>
  <c r="H67" i="37"/>
  <c r="F68" i="38"/>
  <c r="F67" i="38"/>
  <c r="F57" i="38"/>
  <c r="F56" i="38"/>
  <c r="F47" i="38"/>
  <c r="F46" i="38"/>
  <c r="F35" i="38"/>
  <c r="F34" i="38"/>
  <c r="F24" i="38"/>
  <c r="F23" i="38"/>
  <c r="F14" i="38"/>
  <c r="F13" i="38"/>
  <c r="D68" i="38"/>
  <c r="D67" i="38"/>
  <c r="D57" i="38"/>
  <c r="D56" i="38"/>
  <c r="D47" i="38"/>
  <c r="D46" i="38"/>
  <c r="D35" i="38"/>
  <c r="D34" i="38"/>
  <c r="D24" i="38"/>
  <c r="D23" i="38"/>
  <c r="D14" i="38"/>
  <c r="D13" i="38"/>
  <c r="B66" i="38"/>
  <c r="B68" i="38" s="1"/>
  <c r="B64" i="38"/>
  <c r="B63" i="38"/>
  <c r="B62" i="38"/>
  <c r="B55" i="38"/>
  <c r="B57" i="38" s="1"/>
  <c r="B54" i="38"/>
  <c r="B53" i="38"/>
  <c r="B52" i="38"/>
  <c r="B45" i="38"/>
  <c r="B47" i="38" s="1"/>
  <c r="B44" i="38"/>
  <c r="B43" i="38"/>
  <c r="B42" i="38"/>
  <c r="B33" i="38"/>
  <c r="B35" i="38" s="1"/>
  <c r="B31" i="38"/>
  <c r="B30" i="38"/>
  <c r="B29" i="38"/>
  <c r="B22" i="38"/>
  <c r="B24" i="38" s="1"/>
  <c r="B21" i="38"/>
  <c r="B20" i="38"/>
  <c r="B19" i="38"/>
  <c r="B12" i="38"/>
  <c r="B14" i="38" s="1"/>
  <c r="B11" i="38"/>
  <c r="B10" i="38"/>
  <c r="B9" i="38"/>
  <c r="B8" i="38"/>
  <c r="B69" i="38"/>
  <c r="B69" i="36"/>
  <c r="F68" i="35"/>
  <c r="F67" i="35"/>
  <c r="F57" i="35"/>
  <c r="F56" i="35"/>
  <c r="F47" i="35"/>
  <c r="F46" i="35"/>
  <c r="F35" i="35"/>
  <c r="F34" i="35"/>
  <c r="F24" i="35"/>
  <c r="F23" i="35"/>
  <c r="F14" i="35"/>
  <c r="F13" i="35"/>
  <c r="D68" i="35"/>
  <c r="D67" i="35"/>
  <c r="D57" i="35"/>
  <c r="D56" i="35"/>
  <c r="D47" i="35"/>
  <c r="D46" i="35"/>
  <c r="D35" i="35"/>
  <c r="D34" i="35"/>
  <c r="D24" i="35"/>
  <c r="D23" i="35"/>
  <c r="D14" i="35"/>
  <c r="D13" i="35"/>
  <c r="B66" i="35"/>
  <c r="B68" i="35" s="1"/>
  <c r="B65" i="35"/>
  <c r="B64" i="35"/>
  <c r="B63" i="35"/>
  <c r="B62" i="35"/>
  <c r="B55" i="35"/>
  <c r="B57" i="35" s="1"/>
  <c r="B54" i="35"/>
  <c r="B53" i="35"/>
  <c r="B52" i="35"/>
  <c r="B45" i="35"/>
  <c r="B47" i="35" s="1"/>
  <c r="B44" i="35"/>
  <c r="B43" i="35"/>
  <c r="B42" i="35"/>
  <c r="B33" i="35"/>
  <c r="B35" i="35" s="1"/>
  <c r="B32" i="35"/>
  <c r="B31" i="35"/>
  <c r="B30" i="35"/>
  <c r="B29" i="35"/>
  <c r="B22" i="35"/>
  <c r="B24" i="35" s="1"/>
  <c r="B21" i="35"/>
  <c r="B20" i="35"/>
  <c r="B19" i="35"/>
  <c r="B12" i="35"/>
  <c r="B14" i="35" s="1"/>
  <c r="B11" i="35"/>
  <c r="B10" i="35"/>
  <c r="B9" i="35"/>
  <c r="B8" i="35"/>
  <c r="B69" i="35"/>
  <c r="H58" i="33"/>
  <c r="H57" i="33"/>
  <c r="H47" i="33"/>
  <c r="H46" i="33"/>
  <c r="H35" i="33"/>
  <c r="H34" i="33"/>
  <c r="H24" i="33"/>
  <c r="H23" i="33"/>
  <c r="H14" i="33"/>
  <c r="H13" i="33"/>
  <c r="F58" i="33"/>
  <c r="F57" i="33"/>
  <c r="F47" i="33"/>
  <c r="F46" i="33"/>
  <c r="F35" i="33"/>
  <c r="F34" i="33"/>
  <c r="F24" i="33"/>
  <c r="F23" i="33"/>
  <c r="F14" i="33"/>
  <c r="F13" i="33"/>
  <c r="D58" i="33"/>
  <c r="D57" i="33"/>
  <c r="D47" i="33"/>
  <c r="D46" i="33"/>
  <c r="D35" i="33"/>
  <c r="D34" i="33"/>
  <c r="D24" i="33"/>
  <c r="D23" i="33"/>
  <c r="D14" i="33"/>
  <c r="D13" i="33"/>
  <c r="B54" i="33"/>
  <c r="B53" i="33"/>
  <c r="B52" i="33"/>
  <c r="B45" i="33"/>
  <c r="B47" i="33" s="1"/>
  <c r="B33" i="33"/>
  <c r="B34" i="33" s="1"/>
  <c r="B22" i="33"/>
  <c r="B24" i="33" s="1"/>
  <c r="B12" i="33"/>
  <c r="B13" i="33" s="1"/>
  <c r="B59" i="32"/>
  <c r="B59" i="31"/>
  <c r="B59" i="30"/>
  <c r="B58" i="28"/>
  <c r="F55" i="28"/>
  <c r="F57" i="28" s="1"/>
  <c r="D55" i="28"/>
  <c r="D57" i="28" s="1"/>
  <c r="B44" i="28"/>
  <c r="B45" i="28" s="1"/>
  <c r="B32" i="28"/>
  <c r="B34" i="28" s="1"/>
  <c r="B22" i="28"/>
  <c r="B23" i="28" s="1"/>
  <c r="B12" i="28"/>
  <c r="B14" i="28" s="1"/>
  <c r="B55" i="28"/>
  <c r="B57" i="28" s="1"/>
  <c r="F54" i="28"/>
  <c r="D54" i="28"/>
  <c r="B54" i="28"/>
  <c r="F53" i="28"/>
  <c r="D53" i="28"/>
  <c r="B43" i="28"/>
  <c r="B53" i="28" s="1"/>
  <c r="B31" i="28"/>
  <c r="B21" i="28"/>
  <c r="F52" i="28"/>
  <c r="D52" i="28"/>
  <c r="B42" i="28"/>
  <c r="B30" i="28"/>
  <c r="B20" i="28"/>
  <c r="B9" i="28"/>
  <c r="B52" i="28"/>
  <c r="F51" i="28"/>
  <c r="D51" i="28"/>
  <c r="B41" i="28"/>
  <c r="B29" i="28"/>
  <c r="B19" i="28"/>
  <c r="B8" i="28"/>
  <c r="B51" i="28"/>
  <c r="F46" i="28"/>
  <c r="D46" i="28"/>
  <c r="F45" i="28"/>
  <c r="D45" i="28"/>
  <c r="F34" i="28"/>
  <c r="D34" i="28"/>
  <c r="F33" i="28"/>
  <c r="D33" i="28"/>
  <c r="B33" i="28"/>
  <c r="F24" i="28"/>
  <c r="D24" i="28"/>
  <c r="B24" i="28"/>
  <c r="F23" i="28"/>
  <c r="D23" i="28"/>
  <c r="F14" i="28"/>
  <c r="D14" i="28"/>
  <c r="F13" i="28"/>
  <c r="D13" i="28"/>
  <c r="B13" i="28"/>
  <c r="F46" i="26"/>
  <c r="F45" i="26"/>
  <c r="F34" i="26"/>
  <c r="F33" i="26"/>
  <c r="F24" i="26"/>
  <c r="F23" i="26"/>
  <c r="F14" i="26"/>
  <c r="F13" i="26"/>
  <c r="F55" i="26"/>
  <c r="F57" i="26" s="1"/>
  <c r="F54" i="26"/>
  <c r="F53" i="26"/>
  <c r="F52" i="26"/>
  <c r="F51" i="26"/>
  <c r="D55" i="26"/>
  <c r="D57" i="26" s="1"/>
  <c r="D54" i="26"/>
  <c r="D53" i="26"/>
  <c r="D52" i="26"/>
  <c r="D51" i="26"/>
  <c r="D46" i="26"/>
  <c r="D45" i="26"/>
  <c r="D34" i="26"/>
  <c r="D33" i="26"/>
  <c r="D24" i="26"/>
  <c r="D23" i="26"/>
  <c r="D14" i="26"/>
  <c r="D13" i="26"/>
  <c r="B58" i="26"/>
  <c r="B44" i="26"/>
  <c r="B45" i="26" s="1"/>
  <c r="B32" i="26"/>
  <c r="B22" i="26"/>
  <c r="B23" i="26" s="1"/>
  <c r="B12" i="26"/>
  <c r="B14" i="26" s="1"/>
  <c r="B55" i="26"/>
  <c r="B57" i="26" s="1"/>
  <c r="B54" i="26"/>
  <c r="B42" i="26"/>
  <c r="B30" i="26"/>
  <c r="B20" i="26"/>
  <c r="B9" i="26"/>
  <c r="B52" i="26"/>
  <c r="B43" i="26"/>
  <c r="B53" i="26" s="1"/>
  <c r="B31" i="26"/>
  <c r="B21" i="26"/>
  <c r="B41" i="26"/>
  <c r="B29" i="26"/>
  <c r="B19" i="26"/>
  <c r="B8" i="26"/>
  <c r="B51" i="26"/>
  <c r="B34" i="26"/>
  <c r="B33" i="26"/>
  <c r="B24" i="26"/>
  <c r="B13" i="26"/>
  <c r="F33" i="12"/>
  <c r="D33" i="12"/>
  <c r="B33" i="12"/>
  <c r="F12" i="12"/>
  <c r="D12" i="12"/>
  <c r="B12" i="12"/>
  <c r="F22" i="12"/>
  <c r="D22" i="12"/>
  <c r="B22" i="12"/>
  <c r="F31" i="11"/>
  <c r="D31" i="11"/>
  <c r="B31" i="11"/>
  <c r="F21" i="11"/>
  <c r="D21" i="11"/>
  <c r="B21" i="11"/>
  <c r="F11" i="11"/>
  <c r="D11" i="11"/>
  <c r="B11" i="11"/>
  <c r="F11" i="10"/>
  <c r="D11" i="10"/>
  <c r="B11" i="10"/>
  <c r="F21" i="10"/>
  <c r="D21" i="10"/>
  <c r="B21" i="10"/>
  <c r="F31" i="10"/>
  <c r="D31" i="10"/>
  <c r="B31" i="10"/>
  <c r="F11" i="9"/>
  <c r="D11" i="9"/>
  <c r="B11" i="9"/>
  <c r="F21" i="9"/>
  <c r="D21" i="9"/>
  <c r="B21" i="9"/>
  <c r="F31" i="9"/>
  <c r="D31" i="9"/>
  <c r="B31" i="9"/>
  <c r="F31" i="8"/>
  <c r="D31" i="8"/>
  <c r="B31" i="8"/>
  <c r="F21" i="8"/>
  <c r="D21" i="8"/>
  <c r="B21" i="8"/>
  <c r="F11" i="8"/>
  <c r="D11" i="8"/>
  <c r="B11" i="8"/>
  <c r="F11" i="6"/>
  <c r="D11" i="6"/>
  <c r="B11" i="6"/>
  <c r="H11" i="5"/>
  <c r="F11" i="5"/>
  <c r="D11" i="5"/>
  <c r="B11" i="5"/>
  <c r="F11" i="4"/>
  <c r="D11" i="4"/>
  <c r="B11" i="4"/>
  <c r="F11" i="2"/>
  <c r="D11" i="2"/>
  <c r="B11" i="2"/>
  <c r="F11" i="7"/>
  <c r="D11" i="7"/>
  <c r="B11" i="7"/>
  <c r="B46" i="26" l="1"/>
  <c r="F56" i="28"/>
  <c r="B46" i="28"/>
  <c r="B56" i="28"/>
  <c r="B13" i="35"/>
  <c r="B23" i="35"/>
  <c r="B34" i="35"/>
  <c r="B46" i="38"/>
  <c r="B46" i="33"/>
  <c r="B47" i="42"/>
  <c r="D56" i="26"/>
  <c r="F56" i="26"/>
  <c r="B56" i="35"/>
  <c r="B67" i="35"/>
  <c r="B23" i="38"/>
  <c r="B67" i="38"/>
  <c r="B56" i="26"/>
  <c r="D56" i="28"/>
  <c r="B23" i="33"/>
  <c r="B56" i="33"/>
  <c r="B58" i="33" s="1"/>
  <c r="B46" i="35"/>
  <c r="B13" i="38"/>
  <c r="B34" i="38"/>
  <c r="B56" i="38"/>
  <c r="B35" i="42"/>
  <c r="B68" i="42"/>
  <c r="B14" i="33"/>
  <c r="B35" i="33"/>
  <c r="B14" i="42"/>
  <c r="B25" i="42"/>
  <c r="B58" i="42"/>
  <c r="B57" i="33" l="1"/>
</calcChain>
</file>

<file path=xl/sharedStrings.xml><?xml version="1.0" encoding="utf-8"?>
<sst xmlns="http://schemas.openxmlformats.org/spreadsheetml/2006/main" count="2161" uniqueCount="132">
  <si>
    <t>Promotional Plays</t>
  </si>
  <si>
    <t>Wagers</t>
  </si>
  <si>
    <t>Payouts</t>
  </si>
  <si>
    <t>Mohegan Sun</t>
  </si>
  <si>
    <t>Philadelphia Park</t>
  </si>
  <si>
    <t>Authorized Slot Machines</t>
  </si>
  <si>
    <t>Total</t>
  </si>
  <si>
    <t>Gaming Site</t>
  </si>
  <si>
    <t>Year-to-Date</t>
  </si>
  <si>
    <t>Statistics for the Week of Jan 1, 2007 - Jan 6, 2007</t>
  </si>
  <si>
    <t>Statistics for the Year Ended December 31, 2006</t>
  </si>
  <si>
    <t>Month-to-Date</t>
  </si>
  <si>
    <t>Week of Nov 13</t>
  </si>
  <si>
    <t>2006</t>
  </si>
  <si>
    <t>November 2006</t>
  </si>
  <si>
    <t>Week of Nov 20</t>
  </si>
  <si>
    <t>Week of Nov 27</t>
  </si>
  <si>
    <t>December 2006</t>
  </si>
  <si>
    <t>Week of Dec 4</t>
  </si>
  <si>
    <t>Week of Nov 6</t>
  </si>
  <si>
    <t>Week of Dec 11</t>
  </si>
  <si>
    <t>Week of Dec 18</t>
  </si>
  <si>
    <t>Gaming Revenues</t>
  </si>
  <si>
    <t>Week of Dec 25</t>
  </si>
  <si>
    <t>Philadelphia Park*</t>
  </si>
  <si>
    <t>Tax (55%)</t>
  </si>
  <si>
    <t>Week of Jan 1</t>
  </si>
  <si>
    <t>January 2007</t>
  </si>
  <si>
    <t>2007</t>
  </si>
  <si>
    <t>Week of Jan 8</t>
  </si>
  <si>
    <t>Adjustments</t>
  </si>
  <si>
    <t>Gross Terminal Revenue</t>
  </si>
  <si>
    <t>Operator Share (45%)</t>
  </si>
  <si>
    <t>Report Notes</t>
  </si>
  <si>
    <t>- Promotional plays are not taxed per statute.</t>
  </si>
  <si>
    <t>- Tax Revenue and Operator Share estimated by PGCB.</t>
  </si>
  <si>
    <t>- The Authorized Slot Machine count is an average and can vary slightly day to day.</t>
  </si>
  <si>
    <t>- Figures for Week of Dec 18th for Philadelphia Park include test night results of Dec 18th.</t>
  </si>
  <si>
    <t>- Figures for Week of Dec 11th for Philadelphia Park reflect test night results of Dec 17th.</t>
  </si>
  <si>
    <t>- Figures for Week of Nov 6 reflect test night results of Nov 10th and 12th.</t>
  </si>
  <si>
    <t>- Accout adjustments made by Department of Revenue based on analysis of daily reports through the Central Computer System.</t>
  </si>
  <si>
    <t>Harrah's Chester Downs</t>
  </si>
  <si>
    <t>Week of Jan 15</t>
  </si>
  <si>
    <t>- Harrah's Chester Downs figures for Week of Jan 15 reflect test night results of Jan 20th and 21st.</t>
  </si>
  <si>
    <t>Week of Jan 22</t>
  </si>
  <si>
    <t>Week of Jan 29</t>
  </si>
  <si>
    <t>February 2007</t>
  </si>
  <si>
    <t>Week of February 5</t>
  </si>
  <si>
    <t>Week of February 12</t>
  </si>
  <si>
    <t>Week of February 19</t>
  </si>
  <si>
    <t>Presque Isle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</si>
  <si>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</t>
  </si>
  <si>
    <t>Week of February 26</t>
  </si>
  <si>
    <t>March 2007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</si>
  <si>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
• Presque Isle figures reflect test night data of 2/26 and results of operations for the period 2/28 through 3/3.</t>
  </si>
  <si>
    <t>Week of</t>
  </si>
  <si>
    <t>March 5 - March 11</t>
  </si>
  <si>
    <t>March 12 - March 18</t>
  </si>
  <si>
    <t>March 19 - March 25</t>
  </si>
  <si>
    <t>March 26 - April 1</t>
  </si>
  <si>
    <t>April 2007</t>
  </si>
  <si>
    <t>Month-to Date</t>
  </si>
  <si>
    <t>April 2 - April 8</t>
  </si>
  <si>
    <t xml:space="preserve">                                                                        </t>
  </si>
  <si>
    <t>April 9 - April 15</t>
  </si>
  <si>
    <t>April 23 - April 29</t>
  </si>
  <si>
    <t>April 30 - May 6</t>
  </si>
  <si>
    <t>May 2007</t>
  </si>
  <si>
    <t>May 7 - May 13</t>
  </si>
  <si>
    <t>May 14 - May 20</t>
  </si>
  <si>
    <t>May 21 - May 27</t>
  </si>
  <si>
    <t>May 28 - June 3</t>
  </si>
  <si>
    <t>June 2007</t>
  </si>
  <si>
    <t>June 4 - June 10</t>
  </si>
  <si>
    <t>The Meadows</t>
  </si>
  <si>
    <t>June 11 - June 17</t>
  </si>
  <si>
    <t>June 18 - June 24</t>
  </si>
  <si>
    <t>June 25 - July 1</t>
  </si>
  <si>
    <t>July 2007</t>
  </si>
  <si>
    <t>July 2 - July 8</t>
  </si>
  <si>
    <t>July 9 - July 15</t>
  </si>
  <si>
    <t>July 16 - July 22</t>
  </si>
  <si>
    <t>July 23 - July 29</t>
  </si>
  <si>
    <t>July 30 - August 5</t>
  </si>
  <si>
    <t>August 2007</t>
  </si>
  <si>
    <t>Grand Total</t>
  </si>
  <si>
    <t>FOOTNOTES:</t>
  </si>
  <si>
    <t>Total Table Games</t>
  </si>
  <si>
    <t>Local Share Assessment</t>
  </si>
  <si>
    <t>MOHEGAN SUN</t>
  </si>
  <si>
    <t>PARX</t>
  </si>
  <si>
    <t>PRESQUE ISLE</t>
  </si>
  <si>
    <t>THE MEADOWS</t>
  </si>
  <si>
    <t>MOUNT AIRY</t>
  </si>
  <si>
    <t>SANDS BETHLEHEM</t>
  </si>
  <si>
    <t>THE RIVERS</t>
  </si>
  <si>
    <t>TOTAL</t>
  </si>
  <si>
    <t>Gross Revenue</t>
  </si>
  <si>
    <t>PENN NATIONAL</t>
  </si>
  <si>
    <t>SUGARHOUSE</t>
  </si>
  <si>
    <r>
      <t xml:space="preserve">                                                                   MONTHLY TABLE GAME REPORT </t>
    </r>
    <r>
      <rPr>
        <b/>
        <vertAlign val="superscript"/>
        <sz val="12"/>
        <rFont val="Calibri"/>
        <family val="2"/>
      </rPr>
      <t>1</t>
    </r>
  </si>
  <si>
    <r>
      <t xml:space="preserve">    MONTHLY TABLE GAME REPORT </t>
    </r>
    <r>
      <rPr>
        <b/>
        <vertAlign val="superscript"/>
        <sz val="12"/>
        <rFont val="Calibri"/>
        <family val="2"/>
      </rPr>
      <t>1</t>
    </r>
  </si>
  <si>
    <r>
      <t xml:space="preserve">State Tax Due </t>
    </r>
    <r>
      <rPr>
        <vertAlign val="superscript"/>
        <sz val="12"/>
        <rFont val="Calibri"/>
        <family val="2"/>
      </rPr>
      <t>2</t>
    </r>
  </si>
  <si>
    <r>
      <t xml:space="preserve">Non-Banking Tables </t>
    </r>
    <r>
      <rPr>
        <b/>
        <vertAlign val="superscript"/>
        <sz val="12"/>
        <rFont val="Calibri"/>
        <family val="2"/>
      </rPr>
      <t>3</t>
    </r>
  </si>
  <si>
    <r>
      <t xml:space="preserve">Banking Tables </t>
    </r>
    <r>
      <rPr>
        <b/>
        <vertAlign val="superscript"/>
        <sz val="12"/>
        <rFont val="Calibri"/>
        <family val="2"/>
      </rPr>
      <t>4</t>
    </r>
  </si>
  <si>
    <r>
      <t xml:space="preserve">Electronic Tables </t>
    </r>
    <r>
      <rPr>
        <b/>
        <vertAlign val="superscript"/>
        <sz val="12"/>
        <rFont val="Calibri"/>
        <family val="2"/>
      </rPr>
      <t>5</t>
    </r>
  </si>
  <si>
    <r>
      <t xml:space="preserve">Fully Automated Electronic Tables </t>
    </r>
    <r>
      <rPr>
        <b/>
        <vertAlign val="superscript"/>
        <sz val="12"/>
        <rFont val="Calibri"/>
        <family val="2"/>
      </rPr>
      <t>6</t>
    </r>
  </si>
  <si>
    <t>VALLEYFORGE</t>
  </si>
  <si>
    <t>HARRAH'S PHILADELPHIA</t>
  </si>
  <si>
    <t>NEMACOLIN</t>
  </si>
  <si>
    <t>July 2015</t>
  </si>
  <si>
    <t>August 2015</t>
  </si>
  <si>
    <t>September 2015</t>
  </si>
  <si>
    <t>October 2015</t>
  </si>
  <si>
    <t>November 2015</t>
  </si>
  <si>
    <t>December 2015</t>
  </si>
  <si>
    <t>January 2016</t>
  </si>
  <si>
    <t>February 2016</t>
  </si>
  <si>
    <t>March 2016</t>
  </si>
  <si>
    <t>April 2016</t>
  </si>
  <si>
    <t>May 2016</t>
  </si>
  <si>
    <t>June 2016</t>
  </si>
  <si>
    <t>FY 2015/2016 Total</t>
  </si>
  <si>
    <t/>
  </si>
  <si>
    <t>Hybrid Tables</t>
  </si>
  <si>
    <r>
      <t xml:space="preserve">State Tax Due </t>
    </r>
    <r>
      <rPr>
        <vertAlign val="superscript"/>
        <sz val="12"/>
        <rFont val="Calibri"/>
        <family val="2"/>
      </rPr>
      <t>1</t>
    </r>
  </si>
  <si>
    <r>
      <t>1</t>
    </r>
    <r>
      <rPr>
        <i/>
        <sz val="16"/>
        <rFont val="Calibri"/>
        <family val="2"/>
      </rPr>
      <t xml:space="preserve"> Please note that the filing of amended returns can cause revisions in previously published statistics.</t>
    </r>
  </si>
  <si>
    <r>
      <t xml:space="preserve">2 </t>
    </r>
    <r>
      <rPr>
        <i/>
        <sz val="16"/>
        <rFont val="Calibri"/>
        <family val="2"/>
      </rPr>
      <t>The state tax on banking, non-banking and electronic gaming tables is 14% for the first two years following commencement of table games operations at each licensed facility. After the initial two years, the tax rate drops to 12%.  The state tax on fully automated electronic table games is currently 48%.  Both rates will decline 2% on the second anniversary of the introduction of table games at that particular facility.</t>
    </r>
  </si>
  <si>
    <r>
      <t xml:space="preserve">3 </t>
    </r>
    <r>
      <rPr>
        <i/>
        <sz val="16"/>
        <rFont val="Calibri"/>
        <family val="2"/>
      </rPr>
      <t>Non-Banking table games are those in which a player competes against another player and the casino collects a rake.</t>
    </r>
  </si>
  <si>
    <r>
      <t>4</t>
    </r>
    <r>
      <rPr>
        <i/>
        <sz val="16"/>
        <rFont val="Calibri"/>
        <family val="2"/>
      </rPr>
      <t xml:space="preserve"> Banking table games are those in which a player competes against the casino rather than another player.</t>
    </r>
  </si>
  <si>
    <r>
      <t xml:space="preserve">5 </t>
    </r>
    <r>
      <rPr>
        <i/>
        <sz val="16"/>
        <rFont val="Calibri"/>
        <family val="2"/>
      </rPr>
      <t xml:space="preserve">Electronic gaming tables are defined by statute and generally include a mechanical, electrical or computerized contrivance, terminal, machine or other device which is available for play or operation by one or more players as a table game. </t>
    </r>
  </si>
  <si>
    <r>
      <t xml:space="preserve">6 </t>
    </r>
    <r>
      <rPr>
        <i/>
        <sz val="16"/>
        <rFont val="Calibri"/>
        <family val="2"/>
      </rPr>
      <t xml:space="preserve">Fully automated electronic gaming tables are electronic gaming tables that are determined to be playable or operable as a table game without the assistance or participation of a person acting on behalf of a casino.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</si>
</sst>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0.0%"/>
    <numFmt numFmtId="167" formatCode="&quot;$&quot;#,##0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0"/>
      <name val="Book Antiqua"/>
      <family val="1"/>
    </font>
    <font>
      <sz val="12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vertAlign val="superscript"/>
      <sz val="12"/>
      <name val="Calibri"/>
      <family val="2"/>
    </font>
    <font>
      <b/>
      <u/>
      <sz val="12"/>
      <color indexed="8"/>
      <name val="Calibri"/>
      <family val="2"/>
    </font>
    <font>
      <sz val="12"/>
      <color indexed="10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i/>
      <vertAlign val="superscript"/>
      <sz val="16"/>
      <name val="Calibri"/>
      <family val="2"/>
    </font>
    <font>
      <i/>
      <sz val="16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0" xfId="0" applyFont="1" applyBorder="1"/>
    <xf numFmtId="49" fontId="0" fillId="0" borderId="0" xfId="0" applyNumberFormat="1" applyBorder="1" applyAlignment="1"/>
    <xf numFmtId="49" fontId="1" fillId="0" borderId="2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8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0" fillId="0" borderId="0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38" fontId="0" fillId="0" borderId="0" xfId="0" applyNumberFormat="1"/>
    <xf numFmtId="0" fontId="9" fillId="0" borderId="0" xfId="0" applyFont="1"/>
    <xf numFmtId="16" fontId="3" fillId="0" borderId="0" xfId="0" quotePrefix="1" applyNumberFormat="1" applyFont="1" applyBorder="1" applyAlignment="1">
      <alignment horizontal="center"/>
    </xf>
    <xf numFmtId="43" fontId="2" fillId="0" borderId="0" xfId="1" applyFont="1"/>
    <xf numFmtId="8" fontId="2" fillId="0" borderId="0" xfId="0" applyNumberFormat="1" applyFont="1"/>
    <xf numFmtId="43" fontId="0" fillId="0" borderId="0" xfId="1" applyFont="1"/>
    <xf numFmtId="0" fontId="9" fillId="0" borderId="0" xfId="0" quotePrefix="1" applyFont="1"/>
    <xf numFmtId="0" fontId="3" fillId="0" borderId="0" xfId="0" applyFont="1"/>
    <xf numFmtId="164" fontId="0" fillId="0" borderId="0" xfId="1" applyNumberFormat="1" applyFont="1"/>
    <xf numFmtId="0" fontId="0" fillId="0" borderId="2" xfId="0" applyBorder="1" applyAlignment="1">
      <alignment horizontal="center"/>
    </xf>
    <xf numFmtId="3" fontId="0" fillId="0" borderId="0" xfId="0" applyNumberFormat="1"/>
    <xf numFmtId="0" fontId="9" fillId="0" borderId="0" xfId="0" applyFont="1" applyAlignment="1">
      <alignment horizontal="left" indent="1"/>
    </xf>
    <xf numFmtId="8" fontId="10" fillId="0" borderId="0" xfId="0" applyNumberFormat="1" applyFont="1"/>
    <xf numFmtId="164" fontId="1" fillId="0" borderId="0" xfId="1" applyNumberFormat="1"/>
    <xf numFmtId="9" fontId="0" fillId="0" borderId="0" xfId="3" applyFont="1"/>
    <xf numFmtId="165" fontId="0" fillId="0" borderId="0" xfId="0" applyNumberFormat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4" fillId="0" borderId="0" xfId="0" applyFont="1" applyBorder="1"/>
    <xf numFmtId="49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5" fillId="0" borderId="0" xfId="0" applyFont="1"/>
    <xf numFmtId="0" fontId="12" fillId="0" borderId="0" xfId="0" applyFont="1" applyAlignment="1">
      <alignment horizontal="left"/>
    </xf>
    <xf numFmtId="1" fontId="12" fillId="0" borderId="0" xfId="3" applyNumberFormat="1" applyFont="1" applyFill="1"/>
    <xf numFmtId="1" fontId="12" fillId="0" borderId="0" xfId="3" applyNumberFormat="1" applyFont="1"/>
    <xf numFmtId="0" fontId="12" fillId="0" borderId="0" xfId="0" applyFont="1"/>
    <xf numFmtId="0" fontId="11" fillId="0" borderId="0" xfId="0" applyFont="1" applyAlignment="1">
      <alignment horizontal="left" indent="1"/>
    </xf>
    <xf numFmtId="167" fontId="11" fillId="0" borderId="0" xfId="3" applyNumberFormat="1" applyFont="1" applyFill="1"/>
    <xf numFmtId="165" fontId="11" fillId="0" borderId="0" xfId="3" applyNumberFormat="1" applyFont="1"/>
    <xf numFmtId="166" fontId="11" fillId="0" borderId="0" xfId="3" applyNumberFormat="1" applyFont="1"/>
    <xf numFmtId="8" fontId="11" fillId="0" borderId="0" xfId="0" applyNumberFormat="1" applyFont="1"/>
    <xf numFmtId="166" fontId="11" fillId="0" borderId="0" xfId="3" applyNumberFormat="1" applyFont="1" applyAlignment="1">
      <alignment horizontal="right"/>
    </xf>
    <xf numFmtId="165" fontId="12" fillId="0" borderId="0" xfId="3" applyNumberFormat="1" applyFont="1"/>
    <xf numFmtId="167" fontId="15" fillId="0" borderId="0" xfId="0" applyNumberFormat="1" applyFont="1" applyFill="1"/>
    <xf numFmtId="1" fontId="11" fillId="0" borderId="0" xfId="3" applyNumberFormat="1" applyFont="1"/>
    <xf numFmtId="0" fontId="17" fillId="0" borderId="0" xfId="0" applyFont="1"/>
    <xf numFmtId="8" fontId="11" fillId="0" borderId="0" xfId="0" applyNumberFormat="1" applyFont="1" applyAlignment="1">
      <alignment horizontal="right"/>
    </xf>
    <xf numFmtId="37" fontId="11" fillId="0" borderId="0" xfId="2" applyNumberFormat="1" applyFont="1" applyAlignment="1">
      <alignment horizontal="right"/>
    </xf>
    <xf numFmtId="0" fontId="15" fillId="0" borderId="0" xfId="0" applyFont="1" applyBorder="1"/>
    <xf numFmtId="49" fontId="12" fillId="0" borderId="2" xfId="0" applyNumberFormat="1" applyFont="1" applyBorder="1" applyAlignment="1">
      <alignment horizontal="center"/>
    </xf>
    <xf numFmtId="0" fontId="12" fillId="0" borderId="2" xfId="0" applyFont="1" applyBorder="1"/>
    <xf numFmtId="0" fontId="11" fillId="0" borderId="0" xfId="0" applyFont="1" applyAlignment="1">
      <alignment wrapText="1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1" fontId="11" fillId="0" borderId="0" xfId="0" applyNumberFormat="1" applyFont="1"/>
    <xf numFmtId="3" fontId="12" fillId="0" borderId="0" xfId="3" applyNumberFormat="1" applyFont="1" applyFill="1"/>
    <xf numFmtId="43" fontId="11" fillId="0" borderId="0" xfId="1" applyFont="1" applyFill="1"/>
    <xf numFmtId="164" fontId="12" fillId="0" borderId="0" xfId="1" applyNumberFormat="1" applyFont="1" applyFill="1"/>
    <xf numFmtId="167" fontId="11" fillId="0" borderId="0" xfId="0" applyNumberFormat="1" applyFont="1"/>
    <xf numFmtId="0" fontId="19" fillId="0" borderId="0" xfId="0" applyFont="1"/>
    <xf numFmtId="165" fontId="19" fillId="0" borderId="0" xfId="0" applyNumberFormat="1" applyFont="1"/>
    <xf numFmtId="0" fontId="12" fillId="0" borderId="0" xfId="4" applyFont="1" applyAlignment="1">
      <alignment horizontal="left"/>
    </xf>
    <xf numFmtId="0" fontId="11" fillId="0" borderId="0" xfId="4" applyFont="1" applyAlignment="1">
      <alignment horizontal="left" indent="1"/>
    </xf>
    <xf numFmtId="0" fontId="20" fillId="0" borderId="0" xfId="0" applyFont="1"/>
    <xf numFmtId="0" fontId="21" fillId="0" borderId="0" xfId="0" applyFont="1"/>
    <xf numFmtId="167" fontId="11" fillId="0" borderId="0" xfId="0" applyNumberFormat="1" applyFont="1" applyBorder="1" applyAlignment="1">
      <alignment horizontal="center"/>
    </xf>
    <xf numFmtId="167" fontId="15" fillId="0" borderId="0" xfId="0" applyNumberFormat="1" applyFont="1"/>
    <xf numFmtId="167" fontId="12" fillId="0" borderId="0" xfId="3" applyNumberFormat="1" applyFont="1" applyFill="1"/>
    <xf numFmtId="0" fontId="0" fillId="0" borderId="0" xfId="0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quotePrefix="1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quotePrefix="1" applyFont="1" applyAlignment="1">
      <alignment horizontal="left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horizontal="left" wrapText="1"/>
    </xf>
    <xf numFmtId="0" fontId="19" fillId="0" borderId="0" xfId="0" applyFont="1" applyAlignment="1">
      <alignment wrapText="1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716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4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126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228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7</xdr:col>
      <xdr:colOff>542925</xdr:colOff>
      <xdr:row>0</xdr:row>
      <xdr:rowOff>704850</xdr:rowOff>
    </xdr:to>
    <xdr:pic>
      <xdr:nvPicPr>
        <xdr:cNvPr id="1331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8958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433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536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638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1624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1740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4864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8435" name="Picture 3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945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614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2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150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2" name="Picture 4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3" name="Picture 5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4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8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6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764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4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8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584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512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8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6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8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123825</xdr:rowOff>
    </xdr:from>
    <xdr:to>
      <xdr:col>6</xdr:col>
      <xdr:colOff>76200</xdr:colOff>
      <xdr:row>1</xdr:row>
      <xdr:rowOff>219075</xdr:rowOff>
    </xdr:to>
    <xdr:pic>
      <xdr:nvPicPr>
        <xdr:cNvPr id="43009" name="Picture 1" descr="LetterHead_Color-no-inf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123825"/>
          <a:ext cx="48577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514350</xdr:colOff>
      <xdr:row>0</xdr:row>
      <xdr:rowOff>142875</xdr:rowOff>
    </xdr:from>
    <xdr:to>
      <xdr:col>12</xdr:col>
      <xdr:colOff>123825</xdr:colOff>
      <xdr:row>1</xdr:row>
      <xdr:rowOff>219075</xdr:rowOff>
    </xdr:to>
    <xdr:pic>
      <xdr:nvPicPr>
        <xdr:cNvPr id="43010" name="Picture 2" descr="LetterHead_Color-no-inf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6350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4096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4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8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90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4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6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70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174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409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1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2" name="Picture 2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307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2049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5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8193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9217" name="Picture 1" descr="PGCBHEADER0222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13" sqref="A13"/>
    </sheetView>
  </sheetViews>
  <sheetFormatPr defaultRowHeight="12.75" x14ac:dyDescent="0.2"/>
  <cols>
    <col min="1" max="1" width="22.7109375" bestFit="1" customWidth="1"/>
    <col min="2" max="2" width="12.42578125" bestFit="1" customWidth="1"/>
    <col min="3" max="3" width="15.5703125" bestFit="1" customWidth="1"/>
    <col min="4" max="4" width="16.28515625" bestFit="1" customWidth="1"/>
    <col min="5" max="5" width="22.7109375" bestFit="1" customWidth="1"/>
  </cols>
  <sheetData>
    <row r="1" spans="1:5" x14ac:dyDescent="0.2">
      <c r="A1" s="1" t="s">
        <v>9</v>
      </c>
    </row>
    <row r="4" spans="1:5" x14ac:dyDescent="0.2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ht="7.5" customHeight="1" x14ac:dyDescent="0.2">
      <c r="A5" s="5"/>
      <c r="B5" s="6"/>
    </row>
    <row r="6" spans="1:5" x14ac:dyDescent="0.2">
      <c r="A6" s="7" t="s">
        <v>3</v>
      </c>
    </row>
    <row r="7" spans="1:5" x14ac:dyDescent="0.2">
      <c r="A7" s="7" t="s">
        <v>4</v>
      </c>
    </row>
    <row r="8" spans="1:5" x14ac:dyDescent="0.2">
      <c r="A8" s="1" t="s">
        <v>6</v>
      </c>
    </row>
    <row r="13" spans="1:5" x14ac:dyDescent="0.2">
      <c r="A13" s="1"/>
    </row>
    <row r="20" spans="1:1" x14ac:dyDescent="0.2">
      <c r="A20" s="1"/>
    </row>
  </sheetData>
  <phoneticPr fontId="4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2.85546875" style="1" bestFit="1" customWidth="1"/>
    <col min="9" max="9" width="12.85546875" bestFit="1" customWidth="1"/>
    <col min="11" max="11" width="12.85546875" bestFit="1" customWidth="1"/>
  </cols>
  <sheetData>
    <row r="1" spans="1:11" ht="60.75" customHeight="1" x14ac:dyDescent="0.2">
      <c r="A1" s="76"/>
      <c r="B1" s="76"/>
      <c r="C1" s="76"/>
      <c r="D1" s="76"/>
      <c r="E1" s="76"/>
      <c r="F1" s="76"/>
    </row>
    <row r="2" spans="1:11" ht="26.25" customHeight="1" x14ac:dyDescent="0.25">
      <c r="A2" s="77" t="s">
        <v>22</v>
      </c>
      <c r="B2" s="78"/>
      <c r="C2" s="78"/>
      <c r="D2" s="78"/>
      <c r="E2" s="78"/>
      <c r="F2" s="78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27</v>
      </c>
      <c r="E4" s="10"/>
      <c r="F4" s="16" t="s">
        <v>28</v>
      </c>
    </row>
    <row r="5" spans="1:11" x14ac:dyDescent="0.2">
      <c r="A5" s="9"/>
      <c r="B5" s="20" t="s">
        <v>26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34889453.100000001</v>
      </c>
      <c r="D8" s="13">
        <v>34889453.100000001</v>
      </c>
      <c r="E8" s="13"/>
      <c r="F8" s="13">
        <v>34889453.100000001</v>
      </c>
    </row>
    <row r="9" spans="1:11" x14ac:dyDescent="0.2">
      <c r="A9" t="s">
        <v>2</v>
      </c>
      <c r="B9" s="13">
        <v>31372205.920000002</v>
      </c>
      <c r="D9" s="13">
        <v>31372205.920000002</v>
      </c>
      <c r="E9" s="13"/>
      <c r="F9" s="13">
        <v>31372205.920000002</v>
      </c>
    </row>
    <row r="10" spans="1:11" x14ac:dyDescent="0.2">
      <c r="A10" t="s">
        <v>0</v>
      </c>
      <c r="B10" s="13">
        <v>0</v>
      </c>
      <c r="D10" s="13">
        <v>0</v>
      </c>
      <c r="F10" s="13">
        <v>0</v>
      </c>
    </row>
    <row r="11" spans="1:11" x14ac:dyDescent="0.2">
      <c r="A11" t="s">
        <v>31</v>
      </c>
      <c r="B11" s="13">
        <f>+B8-B9-B10</f>
        <v>3517247.1799999997</v>
      </c>
      <c r="D11" s="13">
        <f>+D8-D9-D10</f>
        <v>3517247.1799999997</v>
      </c>
      <c r="F11" s="13">
        <f>+F8-F9-F10</f>
        <v>3517247.1799999997</v>
      </c>
      <c r="G11" s="21"/>
      <c r="H11" s="23"/>
      <c r="I11" s="21"/>
      <c r="J11" s="23"/>
      <c r="K11" s="21"/>
    </row>
    <row r="12" spans="1:11" x14ac:dyDescent="0.2">
      <c r="A12" t="s">
        <v>25</v>
      </c>
      <c r="B12" s="13">
        <v>1934485.949</v>
      </c>
      <c r="D12" s="13">
        <v>1934485.949</v>
      </c>
      <c r="F12" s="13">
        <v>1934485.949</v>
      </c>
    </row>
    <row r="13" spans="1:11" x14ac:dyDescent="0.2">
      <c r="A13" t="s">
        <v>32</v>
      </c>
      <c r="B13" s="13">
        <v>1582761.2309999999</v>
      </c>
      <c r="D13" s="13">
        <v>1582761.2309999999</v>
      </c>
      <c r="F13" s="13">
        <v>1582761.2309999999</v>
      </c>
    </row>
    <row r="14" spans="1:11" x14ac:dyDescent="0.2">
      <c r="A14" t="s">
        <v>5</v>
      </c>
      <c r="B14" s="18">
        <v>1099</v>
      </c>
    </row>
    <row r="17" spans="1:11" x14ac:dyDescent="0.2">
      <c r="A17" s="8" t="s">
        <v>4</v>
      </c>
      <c r="B17" s="8"/>
      <c r="C17" s="8"/>
    </row>
    <row r="18" spans="1:11" x14ac:dyDescent="0.2">
      <c r="A18" t="s">
        <v>1</v>
      </c>
      <c r="B18" s="13">
        <v>62127659.839999996</v>
      </c>
      <c r="C18" s="13"/>
      <c r="D18" s="13">
        <v>62127659.839999996</v>
      </c>
      <c r="E18" s="13"/>
      <c r="F18" s="13">
        <v>62127659.839999996</v>
      </c>
    </row>
    <row r="19" spans="1:11" x14ac:dyDescent="0.2">
      <c r="A19" t="s">
        <v>2</v>
      </c>
      <c r="B19" s="13">
        <v>56814834.200000003</v>
      </c>
      <c r="C19" s="13"/>
      <c r="D19" s="13">
        <v>56814834.200000003</v>
      </c>
      <c r="E19" s="13"/>
      <c r="F19" s="13">
        <v>56814834.200000003</v>
      </c>
    </row>
    <row r="20" spans="1:11" x14ac:dyDescent="0.2">
      <c r="A20" t="s">
        <v>0</v>
      </c>
      <c r="B20" s="13">
        <v>0</v>
      </c>
      <c r="C20" s="13"/>
      <c r="D20" s="13">
        <v>0</v>
      </c>
      <c r="E20" s="13"/>
      <c r="F20" s="13">
        <v>0</v>
      </c>
    </row>
    <row r="21" spans="1:11" x14ac:dyDescent="0.2">
      <c r="A21" t="s">
        <v>31</v>
      </c>
      <c r="B21" s="13">
        <f>+B18-B19-B20</f>
        <v>5312825.6399999931</v>
      </c>
      <c r="D21" s="13">
        <f>+D18-D19-D20</f>
        <v>5312825.6399999931</v>
      </c>
      <c r="F21" s="13">
        <f>+F18-F19-F20</f>
        <v>5312825.6399999931</v>
      </c>
      <c r="G21" s="21"/>
      <c r="H21" s="23"/>
      <c r="I21" s="21"/>
      <c r="J21" s="23"/>
      <c r="K21" s="21"/>
    </row>
    <row r="22" spans="1:11" x14ac:dyDescent="0.2">
      <c r="A22" t="s">
        <v>25</v>
      </c>
      <c r="B22" s="13">
        <v>2922054.1019999967</v>
      </c>
      <c r="D22" s="13">
        <v>2922054.1019999967</v>
      </c>
      <c r="F22" s="13">
        <v>2922054.1019999967</v>
      </c>
    </row>
    <row r="23" spans="1:11" x14ac:dyDescent="0.2">
      <c r="A23" t="s">
        <v>32</v>
      </c>
      <c r="B23" s="13">
        <v>2390771.5379999969</v>
      </c>
      <c r="D23" s="13">
        <v>2390771.5379999969</v>
      </c>
      <c r="F23" s="13">
        <v>2390771.5379999969</v>
      </c>
    </row>
    <row r="24" spans="1:11" x14ac:dyDescent="0.2">
      <c r="A24" t="s">
        <v>5</v>
      </c>
      <c r="B24" s="18">
        <v>2076</v>
      </c>
      <c r="C24" s="13"/>
      <c r="D24" s="13"/>
      <c r="E24" s="13"/>
      <c r="F24" s="13"/>
    </row>
    <row r="27" spans="1:11" x14ac:dyDescent="0.2">
      <c r="A27" s="8" t="s">
        <v>6</v>
      </c>
      <c r="B27" s="8"/>
      <c r="C27" s="8"/>
    </row>
    <row r="28" spans="1:11" x14ac:dyDescent="0.2">
      <c r="A28" t="s">
        <v>1</v>
      </c>
      <c r="B28" s="13">
        <v>97017112.939999998</v>
      </c>
      <c r="D28" s="13">
        <v>97017112.939999998</v>
      </c>
      <c r="F28" s="13">
        <v>97017112.939999998</v>
      </c>
    </row>
    <row r="29" spans="1:11" x14ac:dyDescent="0.2">
      <c r="A29" t="s">
        <v>2</v>
      </c>
      <c r="B29" s="13">
        <v>88187040.120000005</v>
      </c>
      <c r="D29" s="13">
        <v>88187040.120000005</v>
      </c>
      <c r="F29" s="13">
        <v>88187040.120000005</v>
      </c>
    </row>
    <row r="30" spans="1:11" x14ac:dyDescent="0.2">
      <c r="A30" t="s">
        <v>0</v>
      </c>
      <c r="B30" s="13">
        <v>0</v>
      </c>
      <c r="D30" s="13">
        <v>0</v>
      </c>
      <c r="F30" s="13">
        <v>0</v>
      </c>
    </row>
    <row r="31" spans="1:11" x14ac:dyDescent="0.2">
      <c r="A31" t="s">
        <v>31</v>
      </c>
      <c r="B31" s="13">
        <f>+B28-B29-B30</f>
        <v>8830072.8199999928</v>
      </c>
      <c r="D31" s="13">
        <f>+D28-D29-D30</f>
        <v>8830072.8199999928</v>
      </c>
      <c r="F31" s="13">
        <f>+F28-F29-F30</f>
        <v>8830072.8199999928</v>
      </c>
      <c r="G31" s="21"/>
      <c r="H31" s="23"/>
      <c r="I31" s="21"/>
      <c r="J31" s="23"/>
      <c r="K31" s="21"/>
    </row>
    <row r="32" spans="1:11" x14ac:dyDescent="0.2">
      <c r="A32" t="s">
        <v>25</v>
      </c>
      <c r="B32" s="13">
        <v>4856540.0509999963</v>
      </c>
      <c r="D32" s="13">
        <v>4856540.0509999963</v>
      </c>
      <c r="F32" s="13">
        <v>4856540.0509999963</v>
      </c>
    </row>
    <row r="33" spans="1:6" x14ac:dyDescent="0.2">
      <c r="A33" t="s">
        <v>32</v>
      </c>
      <c r="B33" s="13">
        <v>3973532.7689999971</v>
      </c>
      <c r="D33" s="13">
        <v>3973532.7689999971</v>
      </c>
      <c r="F33" s="13">
        <v>3973532.7689999971</v>
      </c>
    </row>
    <row r="34" spans="1:6" x14ac:dyDescent="0.2">
      <c r="A34" t="s">
        <v>5</v>
      </c>
      <c r="B34" s="18">
        <v>3175</v>
      </c>
    </row>
    <row r="37" spans="1:6" x14ac:dyDescent="0.2">
      <c r="A37" s="19" t="s">
        <v>33</v>
      </c>
    </row>
    <row r="38" spans="1:6" x14ac:dyDescent="0.2">
      <c r="A38" s="24" t="s">
        <v>36</v>
      </c>
    </row>
    <row r="39" spans="1:6" x14ac:dyDescent="0.2">
      <c r="A39" s="24" t="s">
        <v>35</v>
      </c>
    </row>
    <row r="40" spans="1:6" x14ac:dyDescent="0.2">
      <c r="A40" s="24" t="s">
        <v>34</v>
      </c>
    </row>
  </sheetData>
  <mergeCells count="2">
    <mergeCell ref="A1:F1"/>
    <mergeCell ref="A2:F2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4" style="1" bestFit="1" customWidth="1"/>
    <col min="9" max="9" width="14" bestFit="1" customWidth="1"/>
    <col min="11" max="11" width="14" bestFit="1" customWidth="1"/>
  </cols>
  <sheetData>
    <row r="1" spans="1:11" ht="60.75" customHeight="1" x14ac:dyDescent="0.2">
      <c r="A1" s="76"/>
      <c r="B1" s="76"/>
      <c r="C1" s="76"/>
      <c r="D1" s="76"/>
      <c r="E1" s="76"/>
      <c r="F1" s="76"/>
    </row>
    <row r="2" spans="1:11" ht="26.25" customHeight="1" x14ac:dyDescent="0.25">
      <c r="A2" s="77" t="s">
        <v>22</v>
      </c>
      <c r="B2" s="78"/>
      <c r="C2" s="78"/>
      <c r="D2" s="78"/>
      <c r="E2" s="78"/>
      <c r="F2" s="78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27</v>
      </c>
      <c r="E4" s="10"/>
      <c r="F4" s="16" t="s">
        <v>28</v>
      </c>
    </row>
    <row r="5" spans="1:11" x14ac:dyDescent="0.2">
      <c r="A5" s="9"/>
      <c r="B5" s="20" t="s">
        <v>29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32081199.780000001</v>
      </c>
      <c r="D8" s="13">
        <v>66970652.880000003</v>
      </c>
      <c r="E8" s="13"/>
      <c r="F8" s="13">
        <v>66970652.880000003</v>
      </c>
    </row>
    <row r="9" spans="1:11" x14ac:dyDescent="0.2">
      <c r="A9" t="s">
        <v>2</v>
      </c>
      <c r="B9" s="13">
        <v>28805756.190000001</v>
      </c>
      <c r="D9" s="13">
        <v>60177962.109999999</v>
      </c>
      <c r="E9" s="13"/>
      <c r="F9" s="13">
        <v>60177962.109999999</v>
      </c>
    </row>
    <row r="10" spans="1:11" x14ac:dyDescent="0.2">
      <c r="A10" t="s">
        <v>0</v>
      </c>
      <c r="B10" s="13">
        <v>6410</v>
      </c>
      <c r="D10" s="13">
        <v>6410</v>
      </c>
      <c r="F10" s="13">
        <v>6410</v>
      </c>
    </row>
    <row r="11" spans="1:11" x14ac:dyDescent="0.2">
      <c r="A11" t="s">
        <v>30</v>
      </c>
      <c r="B11" s="13">
        <v>34542.519999999997</v>
      </c>
      <c r="D11" s="13">
        <v>34542.519999999997</v>
      </c>
      <c r="F11" s="13">
        <v>34542.519999999997</v>
      </c>
    </row>
    <row r="12" spans="1:11" x14ac:dyDescent="0.2">
      <c r="A12" t="s">
        <v>31</v>
      </c>
      <c r="B12" s="13">
        <f>+B8-B9-B10+B11</f>
        <v>3303576.11</v>
      </c>
      <c r="D12" s="13">
        <f>+D8-D9-D10+D11</f>
        <v>6820823.2900000028</v>
      </c>
      <c r="F12" s="13">
        <f>+F8-F9-F10+F11</f>
        <v>6820823.2900000028</v>
      </c>
      <c r="G12" s="21"/>
      <c r="I12" s="21"/>
      <c r="K12" s="21"/>
    </row>
    <row r="13" spans="1:11" x14ac:dyDescent="0.2">
      <c r="A13" t="s">
        <v>25</v>
      </c>
      <c r="B13" s="13">
        <v>1816966.8605000002</v>
      </c>
      <c r="D13" s="13">
        <v>3751452.8095000018</v>
      </c>
      <c r="F13" s="13">
        <v>3751452.8095000018</v>
      </c>
    </row>
    <row r="14" spans="1:11" x14ac:dyDescent="0.2">
      <c r="A14" t="s">
        <v>32</v>
      </c>
      <c r="B14" s="13">
        <v>1486609.2494999999</v>
      </c>
      <c r="D14" s="13">
        <v>3069370.4805000015</v>
      </c>
      <c r="F14" s="13">
        <v>3069370.4805000015</v>
      </c>
    </row>
    <row r="15" spans="1:11" x14ac:dyDescent="0.2">
      <c r="A15" t="s">
        <v>5</v>
      </c>
      <c r="B15" s="18">
        <v>1099</v>
      </c>
    </row>
    <row r="18" spans="1:11" x14ac:dyDescent="0.2">
      <c r="A18" s="8" t="s">
        <v>4</v>
      </c>
      <c r="B18" s="8"/>
      <c r="C18" s="8"/>
    </row>
    <row r="19" spans="1:11" x14ac:dyDescent="0.2">
      <c r="A19" t="s">
        <v>1</v>
      </c>
      <c r="B19" s="13">
        <v>58503585.659999996</v>
      </c>
      <c r="C19" s="13"/>
      <c r="D19" s="13">
        <v>120631245.5</v>
      </c>
      <c r="E19" s="13"/>
      <c r="F19" s="13">
        <v>120631245.5</v>
      </c>
    </row>
    <row r="20" spans="1:11" x14ac:dyDescent="0.2">
      <c r="A20" t="s">
        <v>2</v>
      </c>
      <c r="B20" s="13">
        <v>53074225.850000001</v>
      </c>
      <c r="C20" s="13"/>
      <c r="D20" s="13">
        <v>109889060.05000001</v>
      </c>
      <c r="E20" s="13"/>
      <c r="F20" s="13">
        <v>109889060.05000001</v>
      </c>
    </row>
    <row r="21" spans="1:11" x14ac:dyDescent="0.2">
      <c r="A21" t="s">
        <v>0</v>
      </c>
      <c r="B21" s="13">
        <v>18398</v>
      </c>
      <c r="C21" s="13"/>
      <c r="D21" s="13">
        <v>18398</v>
      </c>
      <c r="E21" s="13"/>
      <c r="F21" s="13">
        <v>18398</v>
      </c>
    </row>
    <row r="22" spans="1:11" x14ac:dyDescent="0.2">
      <c r="A22" t="s">
        <v>31</v>
      </c>
      <c r="B22" s="13">
        <f>+B19-B20-B21</f>
        <v>5410961.8099999949</v>
      </c>
      <c r="D22" s="13">
        <f>+D19-D20-D21</f>
        <v>10723787.449999988</v>
      </c>
      <c r="F22" s="13">
        <f>+F19-F20-F21</f>
        <v>10723787.449999988</v>
      </c>
      <c r="G22" s="21"/>
      <c r="I22" s="21"/>
      <c r="K22" s="21"/>
    </row>
    <row r="23" spans="1:11" x14ac:dyDescent="0.2">
      <c r="A23" t="s">
        <v>25</v>
      </c>
      <c r="B23" s="13">
        <v>2976028.9954999974</v>
      </c>
      <c r="D23" s="13">
        <v>5898083.0974999936</v>
      </c>
      <c r="F23" s="13">
        <v>5898083.0974999936</v>
      </c>
    </row>
    <row r="24" spans="1:11" x14ac:dyDescent="0.2">
      <c r="A24" t="s">
        <v>32</v>
      </c>
      <c r="B24" s="13">
        <v>2434932.814499998</v>
      </c>
      <c r="D24" s="13">
        <v>4825704.3524999944</v>
      </c>
      <c r="F24" s="13">
        <v>4825704.3524999944</v>
      </c>
    </row>
    <row r="25" spans="1:11" x14ac:dyDescent="0.2">
      <c r="A25" t="s">
        <v>5</v>
      </c>
      <c r="B25" s="18">
        <v>2076</v>
      </c>
      <c r="C25" s="13"/>
      <c r="D25" s="13"/>
      <c r="E25" s="13"/>
      <c r="F25" s="13"/>
    </row>
    <row r="27" spans="1:11" x14ac:dyDescent="0.2">
      <c r="B27" s="13"/>
    </row>
    <row r="28" spans="1:11" x14ac:dyDescent="0.2">
      <c r="A28" s="8" t="s">
        <v>6</v>
      </c>
      <c r="B28" s="13"/>
      <c r="C28" s="8"/>
    </row>
    <row r="29" spans="1:11" x14ac:dyDescent="0.2">
      <c r="A29" t="s">
        <v>1</v>
      </c>
      <c r="B29" s="13">
        <v>90584785.439999998</v>
      </c>
      <c r="D29" s="13">
        <v>187601898.38</v>
      </c>
      <c r="F29" s="13">
        <v>187601898.38</v>
      </c>
    </row>
    <row r="30" spans="1:11" x14ac:dyDescent="0.2">
      <c r="A30" t="s">
        <v>2</v>
      </c>
      <c r="B30" s="13">
        <v>81879982.040000007</v>
      </c>
      <c r="D30" s="13">
        <v>170067022.16000003</v>
      </c>
      <c r="F30" s="13">
        <v>170067022.16000003</v>
      </c>
    </row>
    <row r="31" spans="1:11" x14ac:dyDescent="0.2">
      <c r="A31" t="s">
        <v>0</v>
      </c>
      <c r="B31" s="13">
        <v>24808</v>
      </c>
      <c r="D31" s="13">
        <v>24808</v>
      </c>
      <c r="F31" s="13">
        <v>24808</v>
      </c>
    </row>
    <row r="32" spans="1:11" x14ac:dyDescent="0.2">
      <c r="A32" t="s">
        <v>30</v>
      </c>
      <c r="B32" s="13">
        <v>34542.519999999997</v>
      </c>
      <c r="D32" s="13">
        <v>34542.519999999997</v>
      </c>
      <c r="F32" s="13">
        <v>34542.519999999997</v>
      </c>
    </row>
    <row r="33" spans="1:11" x14ac:dyDescent="0.2">
      <c r="A33" t="s">
        <v>31</v>
      </c>
      <c r="B33" s="13">
        <f>+B29-B30-B31+B32</f>
        <v>8714537.9199999906</v>
      </c>
      <c r="D33" s="13">
        <f>+D29-D30-D31+D32</f>
        <v>17544610.739999969</v>
      </c>
      <c r="F33" s="13">
        <f>+F29-F30-F31+F32</f>
        <v>17544610.739999969</v>
      </c>
      <c r="G33" s="21"/>
      <c r="I33" s="21"/>
      <c r="K33" s="21"/>
    </row>
    <row r="34" spans="1:11" x14ac:dyDescent="0.2">
      <c r="A34" t="s">
        <v>25</v>
      </c>
      <c r="B34" s="13">
        <v>4792995.855999995</v>
      </c>
      <c r="D34" s="13">
        <v>9649535.9069999829</v>
      </c>
      <c r="F34" s="13">
        <v>9649535.9069999829</v>
      </c>
    </row>
    <row r="35" spans="1:11" x14ac:dyDescent="0.2">
      <c r="A35" t="s">
        <v>32</v>
      </c>
      <c r="B35" s="13">
        <v>3921542.0639999961</v>
      </c>
      <c r="D35" s="13">
        <v>7895074.8329999857</v>
      </c>
      <c r="F35" s="13">
        <v>7895074.8329999857</v>
      </c>
    </row>
    <row r="36" spans="1:11" x14ac:dyDescent="0.2">
      <c r="A36" t="s">
        <v>5</v>
      </c>
      <c r="B36" s="18">
        <v>3175</v>
      </c>
    </row>
    <row r="39" spans="1:11" x14ac:dyDescent="0.2">
      <c r="A39" s="19" t="s">
        <v>33</v>
      </c>
    </row>
    <row r="40" spans="1:11" x14ac:dyDescent="0.2">
      <c r="A40" s="24" t="s">
        <v>36</v>
      </c>
    </row>
    <row r="41" spans="1:11" x14ac:dyDescent="0.2">
      <c r="A41" s="24" t="s">
        <v>35</v>
      </c>
    </row>
    <row r="42" spans="1:11" ht="26.25" customHeight="1" x14ac:dyDescent="0.2">
      <c r="A42" s="80" t="s">
        <v>40</v>
      </c>
      <c r="B42" s="81"/>
      <c r="C42" s="81"/>
      <c r="D42" s="81"/>
      <c r="E42" s="81"/>
      <c r="F42" s="81"/>
    </row>
    <row r="43" spans="1:11" x14ac:dyDescent="0.2">
      <c r="A43" s="24" t="s">
        <v>34</v>
      </c>
    </row>
  </sheetData>
  <mergeCells count="3">
    <mergeCell ref="A1:F1"/>
    <mergeCell ref="A2:F2"/>
    <mergeCell ref="A42:F42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5.42578125" style="1" bestFit="1" customWidth="1"/>
    <col min="9" max="9" width="14" bestFit="1" customWidth="1"/>
    <col min="11" max="11" width="14" bestFit="1" customWidth="1"/>
  </cols>
  <sheetData>
    <row r="1" spans="1:11" ht="60.75" customHeight="1" x14ac:dyDescent="0.2">
      <c r="A1" s="76"/>
      <c r="B1" s="76"/>
      <c r="C1" s="76"/>
      <c r="D1" s="76"/>
      <c r="E1" s="76"/>
      <c r="F1" s="76"/>
    </row>
    <row r="2" spans="1:11" ht="26.25" customHeight="1" x14ac:dyDescent="0.25">
      <c r="A2" s="77" t="s">
        <v>22</v>
      </c>
      <c r="B2" s="78"/>
      <c r="C2" s="78"/>
      <c r="D2" s="78"/>
      <c r="E2" s="78"/>
      <c r="F2" s="78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27</v>
      </c>
      <c r="E4" s="10"/>
      <c r="F4" s="16" t="s">
        <v>28</v>
      </c>
    </row>
    <row r="5" spans="1:11" x14ac:dyDescent="0.2">
      <c r="A5" s="9"/>
      <c r="B5" s="20" t="s">
        <v>42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30839058.220000003</v>
      </c>
      <c r="D8" s="13">
        <v>97809711.100000024</v>
      </c>
      <c r="E8" s="13"/>
      <c r="F8" s="13">
        <v>97809711.100000024</v>
      </c>
    </row>
    <row r="9" spans="1:11" x14ac:dyDescent="0.2">
      <c r="A9" t="s">
        <v>2</v>
      </c>
      <c r="B9" s="13">
        <v>27967135.079999998</v>
      </c>
      <c r="D9" s="13">
        <v>88145097.189999998</v>
      </c>
      <c r="E9" s="13"/>
      <c r="F9" s="13">
        <v>88145097.189999998</v>
      </c>
    </row>
    <row r="10" spans="1:11" x14ac:dyDescent="0.2">
      <c r="A10" t="s">
        <v>0</v>
      </c>
      <c r="B10" s="13">
        <v>0</v>
      </c>
      <c r="D10" s="13">
        <v>6410</v>
      </c>
      <c r="F10" s="13">
        <v>6410</v>
      </c>
    </row>
    <row r="11" spans="1:11" x14ac:dyDescent="0.2">
      <c r="A11" t="s">
        <v>30</v>
      </c>
      <c r="B11" s="13">
        <v>164609.51</v>
      </c>
      <c r="D11" s="13">
        <v>199152.03</v>
      </c>
      <c r="F11" s="13">
        <v>199152.03</v>
      </c>
    </row>
    <row r="12" spans="1:11" x14ac:dyDescent="0.2">
      <c r="A12" t="s">
        <v>31</v>
      </c>
      <c r="B12" s="13">
        <v>3036532.65</v>
      </c>
      <c r="D12" s="13">
        <v>9857355.9400000256</v>
      </c>
      <c r="F12" s="13">
        <v>9857355.9400000256</v>
      </c>
      <c r="G12" s="21"/>
      <c r="I12" s="21"/>
      <c r="K12" s="21"/>
    </row>
    <row r="13" spans="1:11" x14ac:dyDescent="0.2">
      <c r="A13" t="s">
        <v>25</v>
      </c>
      <c r="B13" s="13">
        <v>1670092.9575000023</v>
      </c>
      <c r="D13" s="13">
        <v>5421545.7670000149</v>
      </c>
      <c r="F13" s="13">
        <v>5421545.7670000149</v>
      </c>
    </row>
    <row r="14" spans="1:11" x14ac:dyDescent="0.2">
      <c r="A14" t="s">
        <v>32</v>
      </c>
      <c r="B14" s="13">
        <v>1366439.692500002</v>
      </c>
      <c r="D14" s="13">
        <v>4435810.1730000116</v>
      </c>
      <c r="F14" s="13">
        <v>4435810.1730000116</v>
      </c>
    </row>
    <row r="15" spans="1:11" x14ac:dyDescent="0.2">
      <c r="A15" t="s">
        <v>5</v>
      </c>
      <c r="B15" s="18">
        <v>1099</v>
      </c>
    </row>
    <row r="18" spans="1:11" x14ac:dyDescent="0.2">
      <c r="A18" s="8" t="s">
        <v>4</v>
      </c>
      <c r="B18" s="8"/>
      <c r="C18" s="8"/>
    </row>
    <row r="19" spans="1:11" x14ac:dyDescent="0.2">
      <c r="A19" t="s">
        <v>1</v>
      </c>
      <c r="B19" s="13">
        <v>61625664.32</v>
      </c>
      <c r="C19" s="13"/>
      <c r="D19" s="13">
        <v>182256909.81999996</v>
      </c>
      <c r="E19" s="13"/>
      <c r="F19" s="13">
        <v>182256909.81999996</v>
      </c>
    </row>
    <row r="20" spans="1:11" x14ac:dyDescent="0.2">
      <c r="A20" t="s">
        <v>2</v>
      </c>
      <c r="B20" s="13">
        <v>56200761.839999996</v>
      </c>
      <c r="C20" s="13"/>
      <c r="D20" s="13">
        <v>166089821.88999999</v>
      </c>
      <c r="E20" s="13"/>
      <c r="F20" s="13">
        <v>166089821.88999999</v>
      </c>
    </row>
    <row r="21" spans="1:11" x14ac:dyDescent="0.2">
      <c r="A21" t="s">
        <v>0</v>
      </c>
      <c r="B21" s="13">
        <v>63731</v>
      </c>
      <c r="C21" s="13"/>
      <c r="D21" s="13">
        <v>82129</v>
      </c>
      <c r="E21" s="13"/>
      <c r="F21" s="13">
        <v>82129</v>
      </c>
    </row>
    <row r="22" spans="1:11" x14ac:dyDescent="0.2">
      <c r="A22" t="s">
        <v>31</v>
      </c>
      <c r="B22" s="13">
        <v>5361171.4800000004</v>
      </c>
      <c r="D22" s="13">
        <v>16084958.929999977</v>
      </c>
      <c r="E22" s="13"/>
      <c r="F22" s="13">
        <v>16084958.929999977</v>
      </c>
      <c r="G22" s="21"/>
      <c r="I22" s="21"/>
      <c r="K22" s="21"/>
    </row>
    <row r="23" spans="1:11" x14ac:dyDescent="0.2">
      <c r="A23" t="s">
        <v>25</v>
      </c>
      <c r="B23" s="13">
        <v>2948644.3140000026</v>
      </c>
      <c r="D23" s="13">
        <v>8846727.4114999883</v>
      </c>
      <c r="E23" s="13"/>
      <c r="F23" s="13">
        <v>8846727.4114999883</v>
      </c>
    </row>
    <row r="24" spans="1:11" x14ac:dyDescent="0.2">
      <c r="A24" t="s">
        <v>32</v>
      </c>
      <c r="B24" s="13">
        <v>2412527.1660000021</v>
      </c>
      <c r="D24" s="13">
        <v>7238231.51849999</v>
      </c>
      <c r="E24" s="13"/>
      <c r="F24" s="13">
        <v>7238231.51849999</v>
      </c>
    </row>
    <row r="25" spans="1:11" x14ac:dyDescent="0.2">
      <c r="A25" t="s">
        <v>5</v>
      </c>
      <c r="B25" s="18">
        <v>2076</v>
      </c>
      <c r="C25" s="13"/>
      <c r="D25" s="13"/>
      <c r="E25" s="13"/>
      <c r="F25" s="13"/>
    </row>
    <row r="27" spans="1:11" x14ac:dyDescent="0.2">
      <c r="B27" s="13"/>
    </row>
    <row r="28" spans="1:11" x14ac:dyDescent="0.2">
      <c r="A28" s="25" t="s">
        <v>41</v>
      </c>
      <c r="B28" s="13"/>
    </row>
    <row r="29" spans="1:11" x14ac:dyDescent="0.2">
      <c r="A29" t="s">
        <v>1</v>
      </c>
      <c r="B29" s="13">
        <v>2720685.82</v>
      </c>
      <c r="C29" s="13"/>
      <c r="D29" s="13">
        <v>2720685.82</v>
      </c>
      <c r="E29" s="13"/>
      <c r="F29" s="13">
        <v>2720685.82</v>
      </c>
    </row>
    <row r="30" spans="1:11" x14ac:dyDescent="0.2">
      <c r="A30" t="s">
        <v>2</v>
      </c>
      <c r="B30" s="13">
        <v>2468844.4900000002</v>
      </c>
      <c r="C30" s="13"/>
      <c r="D30" s="13">
        <v>2468844.4900000002</v>
      </c>
      <c r="E30" s="13"/>
      <c r="F30" s="13">
        <v>2468844.4900000002</v>
      </c>
    </row>
    <row r="31" spans="1:11" x14ac:dyDescent="0.2">
      <c r="A31" t="s">
        <v>0</v>
      </c>
      <c r="B31" s="13">
        <v>260</v>
      </c>
      <c r="C31" s="13"/>
      <c r="D31" s="13">
        <v>260</v>
      </c>
      <c r="E31" s="13"/>
      <c r="F31" s="13">
        <v>260</v>
      </c>
    </row>
    <row r="32" spans="1:11" x14ac:dyDescent="0.2">
      <c r="A32" t="s">
        <v>31</v>
      </c>
      <c r="B32" s="13">
        <v>251581.33</v>
      </c>
      <c r="D32" s="13">
        <v>251581.33</v>
      </c>
      <c r="E32" s="13"/>
      <c r="F32" s="13">
        <v>251581.33</v>
      </c>
    </row>
    <row r="33" spans="1:11" x14ac:dyDescent="0.2">
      <c r="A33" t="s">
        <v>25</v>
      </c>
      <c r="B33" s="13">
        <v>138369.73149999979</v>
      </c>
      <c r="D33" s="13">
        <v>138369.73149999979</v>
      </c>
      <c r="E33" s="13"/>
      <c r="F33" s="13">
        <v>138369.73149999979</v>
      </c>
    </row>
    <row r="34" spans="1:11" x14ac:dyDescent="0.2">
      <c r="A34" t="s">
        <v>32</v>
      </c>
      <c r="B34" s="13">
        <v>113211.59849999983</v>
      </c>
      <c r="D34" s="13">
        <v>113211.59849999983</v>
      </c>
      <c r="E34" s="13"/>
      <c r="F34" s="13">
        <v>113211.59849999983</v>
      </c>
    </row>
    <row r="35" spans="1:11" x14ac:dyDescent="0.2">
      <c r="A35" t="s">
        <v>5</v>
      </c>
      <c r="B35" s="18">
        <v>2744</v>
      </c>
      <c r="C35" s="13"/>
      <c r="D35" s="13"/>
      <c r="E35" s="13"/>
      <c r="F35" s="13"/>
    </row>
    <row r="36" spans="1:11" x14ac:dyDescent="0.2">
      <c r="B36" s="13"/>
    </row>
    <row r="37" spans="1:11" x14ac:dyDescent="0.2">
      <c r="B37" s="13"/>
    </row>
    <row r="38" spans="1:11" x14ac:dyDescent="0.2">
      <c r="A38" s="8" t="s">
        <v>6</v>
      </c>
      <c r="B38" s="13"/>
      <c r="C38" s="8"/>
    </row>
    <row r="39" spans="1:11" x14ac:dyDescent="0.2">
      <c r="A39" t="s">
        <v>1</v>
      </c>
      <c r="B39" s="13">
        <v>95185408.359999999</v>
      </c>
      <c r="D39" s="13">
        <v>282787306.74000001</v>
      </c>
      <c r="F39" s="13">
        <v>282787306.74000001</v>
      </c>
      <c r="G39" s="22"/>
    </row>
    <row r="40" spans="1:11" x14ac:dyDescent="0.2">
      <c r="A40" t="s">
        <v>2</v>
      </c>
      <c r="B40" s="13">
        <v>86636741.409999996</v>
      </c>
      <c r="D40" s="13">
        <v>256703763.56999999</v>
      </c>
      <c r="F40" s="13">
        <v>256703763.56999999</v>
      </c>
      <c r="G40" s="22"/>
    </row>
    <row r="41" spans="1:11" x14ac:dyDescent="0.2">
      <c r="A41" t="s">
        <v>0</v>
      </c>
      <c r="B41" s="13">
        <v>63991</v>
      </c>
      <c r="D41" s="13">
        <v>88799</v>
      </c>
      <c r="F41" s="13">
        <v>88799</v>
      </c>
      <c r="G41" s="22"/>
    </row>
    <row r="42" spans="1:11" x14ac:dyDescent="0.2">
      <c r="A42" t="s">
        <v>30</v>
      </c>
      <c r="B42" s="13">
        <v>164609.51</v>
      </c>
      <c r="D42" s="13">
        <v>199152.03</v>
      </c>
      <c r="F42" s="13">
        <v>199152.03</v>
      </c>
      <c r="G42" s="22"/>
    </row>
    <row r="43" spans="1:11" x14ac:dyDescent="0.2">
      <c r="A43" t="s">
        <v>31</v>
      </c>
      <c r="B43" s="13">
        <v>8649285.4600000046</v>
      </c>
      <c r="D43" s="13">
        <v>26193896.200000003</v>
      </c>
      <c r="F43" s="13">
        <v>26193896.200000003</v>
      </c>
      <c r="G43" s="21"/>
      <c r="I43" s="21"/>
      <c r="K43" s="21"/>
    </row>
    <row r="44" spans="1:11" x14ac:dyDescent="0.2">
      <c r="A44" t="s">
        <v>25</v>
      </c>
      <c r="B44" s="13">
        <v>4757107.0030000033</v>
      </c>
      <c r="D44" s="13">
        <v>14406642.910000002</v>
      </c>
      <c r="F44" s="13">
        <v>14406642.910000002</v>
      </c>
    </row>
    <row r="45" spans="1:11" x14ac:dyDescent="0.2">
      <c r="A45" t="s">
        <v>32</v>
      </c>
      <c r="B45" s="13">
        <v>3892178.4570000023</v>
      </c>
      <c r="D45" s="13">
        <v>11787253.290000001</v>
      </c>
      <c r="F45" s="13">
        <v>11787253.290000001</v>
      </c>
    </row>
    <row r="46" spans="1:11" x14ac:dyDescent="0.2">
      <c r="A46" t="s">
        <v>5</v>
      </c>
      <c r="B46" s="18">
        <v>5919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ht="26.25" customHeight="1" x14ac:dyDescent="0.2">
      <c r="A52" s="80" t="s">
        <v>40</v>
      </c>
      <c r="B52" s="81"/>
      <c r="C52" s="81"/>
      <c r="D52" s="81"/>
      <c r="E52" s="81"/>
      <c r="F52" s="81"/>
    </row>
    <row r="53" spans="1:6" x14ac:dyDescent="0.2">
      <c r="A53" s="24" t="s">
        <v>34</v>
      </c>
    </row>
    <row r="54" spans="1:6" ht="26.25" customHeight="1" x14ac:dyDescent="0.2">
      <c r="A54" s="82" t="s">
        <v>43</v>
      </c>
      <c r="B54" s="82"/>
      <c r="C54" s="82"/>
      <c r="D54" s="82"/>
      <c r="E54" s="82"/>
      <c r="F54" s="82"/>
    </row>
  </sheetData>
  <mergeCells count="4">
    <mergeCell ref="A1:F1"/>
    <mergeCell ref="A2:F2"/>
    <mergeCell ref="A52:F52"/>
    <mergeCell ref="A54:F54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sqref="A1:F1"/>
    </sheetView>
  </sheetViews>
  <sheetFormatPr defaultRowHeight="12.75" x14ac:dyDescent="0.2"/>
  <cols>
    <col min="1" max="1" width="24" customWidth="1"/>
    <col min="2" max="2" width="15.42578125" bestFit="1" customWidth="1"/>
    <col min="3" max="3" width="4" customWidth="1"/>
    <col min="4" max="4" width="15.42578125" bestFit="1" customWidth="1"/>
    <col min="5" max="5" width="3.7109375" customWidth="1"/>
    <col min="6" max="6" width="15.42578125" bestFit="1" customWidth="1"/>
  </cols>
  <sheetData>
    <row r="1" spans="1:6" ht="60.75" customHeight="1" x14ac:dyDescent="0.2">
      <c r="A1" s="76"/>
      <c r="B1" s="76"/>
      <c r="C1" s="76"/>
      <c r="D1" s="76"/>
      <c r="E1" s="76"/>
      <c r="F1" s="76"/>
    </row>
    <row r="2" spans="1:6" ht="18" x14ac:dyDescent="0.25">
      <c r="A2" s="77" t="s">
        <v>22</v>
      </c>
      <c r="B2" s="78"/>
      <c r="C2" s="78"/>
      <c r="D2" s="78"/>
      <c r="E2" s="78"/>
      <c r="F2" s="78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27</v>
      </c>
      <c r="E4" s="10"/>
      <c r="F4" s="16" t="s">
        <v>28</v>
      </c>
    </row>
    <row r="5" spans="1:6" x14ac:dyDescent="0.2">
      <c r="A5" s="9"/>
      <c r="B5" s="20" t="s">
        <v>44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30053805.779999997</v>
      </c>
      <c r="C8" s="13"/>
      <c r="D8" s="13">
        <v>127863516.88000003</v>
      </c>
      <c r="E8" s="13"/>
      <c r="F8" s="13">
        <v>127863516.88000003</v>
      </c>
    </row>
    <row r="9" spans="1:6" x14ac:dyDescent="0.2">
      <c r="A9" t="s">
        <v>2</v>
      </c>
      <c r="B9" s="13">
        <v>27149127.09</v>
      </c>
      <c r="C9" s="13"/>
      <c r="D9" s="13">
        <v>115294224.28</v>
      </c>
      <c r="E9" s="13"/>
      <c r="F9" s="13">
        <v>115294224.28</v>
      </c>
    </row>
    <row r="10" spans="1:6" x14ac:dyDescent="0.2">
      <c r="A10" t="s">
        <v>0</v>
      </c>
      <c r="B10" s="13">
        <v>0</v>
      </c>
      <c r="C10" s="13"/>
      <c r="D10" s="13">
        <v>6410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199152.03</v>
      </c>
      <c r="E11" s="13"/>
      <c r="F11" s="13">
        <v>199152.03</v>
      </c>
    </row>
    <row r="12" spans="1:6" x14ac:dyDescent="0.2">
      <c r="A12" t="s">
        <v>31</v>
      </c>
      <c r="B12" s="13">
        <v>2904678.69</v>
      </c>
      <c r="C12" s="13"/>
      <c r="D12" s="13">
        <v>12762034.629999999</v>
      </c>
      <c r="E12" s="13"/>
      <c r="F12" s="13">
        <v>12762034.629999999</v>
      </c>
    </row>
    <row r="13" spans="1:6" x14ac:dyDescent="0.2">
      <c r="A13" t="s">
        <v>25</v>
      </c>
      <c r="B13" s="13">
        <v>1597573.2794999988</v>
      </c>
      <c r="C13" s="13"/>
      <c r="D13" s="13">
        <v>7019119.0465000002</v>
      </c>
      <c r="E13" s="13"/>
      <c r="F13" s="13">
        <v>7019119.0465000002</v>
      </c>
    </row>
    <row r="14" spans="1:6" x14ac:dyDescent="0.2">
      <c r="A14" t="s">
        <v>32</v>
      </c>
      <c r="B14" s="13">
        <v>1307105.4104999991</v>
      </c>
      <c r="C14" s="13"/>
      <c r="D14" s="13">
        <v>5742915.5834999997</v>
      </c>
      <c r="E14" s="13"/>
      <c r="F14" s="13">
        <v>5742915.5834999997</v>
      </c>
    </row>
    <row r="15" spans="1:6" x14ac:dyDescent="0.2">
      <c r="A15" t="s">
        <v>5</v>
      </c>
      <c r="B15" s="26">
        <v>1099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52167107.550000004</v>
      </c>
      <c r="C19" s="13"/>
      <c r="D19" s="13">
        <v>234424017.36999997</v>
      </c>
      <c r="E19" s="13"/>
      <c r="F19" s="13">
        <v>234424017.36999997</v>
      </c>
    </row>
    <row r="20" spans="1:6" x14ac:dyDescent="0.2">
      <c r="A20" t="s">
        <v>2</v>
      </c>
      <c r="B20" s="13">
        <v>47521578.25</v>
      </c>
      <c r="C20" s="13"/>
      <c r="D20" s="13">
        <v>213611400.13999999</v>
      </c>
      <c r="E20" s="13"/>
      <c r="F20" s="13">
        <v>213611400.13999999</v>
      </c>
    </row>
    <row r="21" spans="1:6" x14ac:dyDescent="0.2">
      <c r="A21" t="s">
        <v>0</v>
      </c>
      <c r="B21" s="13">
        <v>41945</v>
      </c>
      <c r="C21" s="13"/>
      <c r="D21" s="13">
        <v>124074</v>
      </c>
      <c r="E21" s="13"/>
      <c r="F21" s="13">
        <v>124074</v>
      </c>
    </row>
    <row r="22" spans="1:6" x14ac:dyDescent="0.2">
      <c r="A22" t="s">
        <v>31</v>
      </c>
      <c r="B22" s="13">
        <v>4603584.3</v>
      </c>
      <c r="C22" s="13"/>
      <c r="D22" s="13">
        <v>20688543.230000004</v>
      </c>
      <c r="E22" s="13"/>
      <c r="F22" s="13">
        <v>20688543.230000004</v>
      </c>
    </row>
    <row r="23" spans="1:6" x14ac:dyDescent="0.2">
      <c r="A23" t="s">
        <v>25</v>
      </c>
      <c r="B23" s="13">
        <v>2531971.3650000026</v>
      </c>
      <c r="C23" s="13"/>
      <c r="D23" s="13">
        <v>11378698.776500003</v>
      </c>
      <c r="E23" s="13"/>
      <c r="F23" s="13">
        <v>11378698.776500003</v>
      </c>
    </row>
    <row r="24" spans="1:6" x14ac:dyDescent="0.2">
      <c r="A24" t="s">
        <v>32</v>
      </c>
      <c r="B24" s="13">
        <v>2071612.9350000022</v>
      </c>
      <c r="C24" s="13"/>
      <c r="D24" s="13">
        <v>9309844.4535000026</v>
      </c>
      <c r="E24" s="13"/>
      <c r="F24" s="13">
        <v>9309844.4535000026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66394368.910000004</v>
      </c>
      <c r="C29" s="13"/>
      <c r="D29" s="13">
        <v>69115054.729999989</v>
      </c>
      <c r="E29" s="13"/>
      <c r="F29" s="13">
        <v>69115054.729999989</v>
      </c>
    </row>
    <row r="30" spans="1:6" x14ac:dyDescent="0.2">
      <c r="A30" t="s">
        <v>2</v>
      </c>
      <c r="B30" s="13">
        <v>60010214.780000001</v>
      </c>
      <c r="C30" s="13"/>
      <c r="D30" s="13">
        <v>62479059.269999996</v>
      </c>
      <c r="E30" s="13"/>
      <c r="F30" s="13">
        <v>62479059.269999996</v>
      </c>
    </row>
    <row r="31" spans="1:6" x14ac:dyDescent="0.2">
      <c r="A31" t="s">
        <v>0</v>
      </c>
      <c r="B31" s="13">
        <v>330</v>
      </c>
      <c r="C31" s="13"/>
      <c r="D31" s="13">
        <v>590</v>
      </c>
      <c r="E31" s="13"/>
      <c r="F31" s="13">
        <v>590</v>
      </c>
    </row>
    <row r="32" spans="1:6" x14ac:dyDescent="0.2">
      <c r="A32" t="s">
        <v>31</v>
      </c>
      <c r="B32" s="13">
        <v>6383824.1299999999</v>
      </c>
      <c r="C32" s="13"/>
      <c r="D32" s="13">
        <v>6635405.459999999</v>
      </c>
      <c r="E32" s="13"/>
      <c r="F32" s="13">
        <v>6635405.459999999</v>
      </c>
    </row>
    <row r="33" spans="1:6" x14ac:dyDescent="0.2">
      <c r="A33" t="s">
        <v>25</v>
      </c>
      <c r="B33" s="13">
        <v>3511103.2715000003</v>
      </c>
      <c r="C33" s="13"/>
      <c r="D33" s="13">
        <v>3649473.0029999996</v>
      </c>
      <c r="E33" s="13"/>
      <c r="F33" s="13">
        <v>3649473.0029999996</v>
      </c>
    </row>
    <row r="34" spans="1:6" x14ac:dyDescent="0.2">
      <c r="A34" t="s">
        <v>32</v>
      </c>
      <c r="B34" s="13">
        <v>2872720.8585000001</v>
      </c>
      <c r="C34" s="13"/>
      <c r="D34" s="13">
        <v>2985932.4569999995</v>
      </c>
      <c r="E34" s="13"/>
      <c r="F34" s="13">
        <v>2985932.4569999995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A38" s="8" t="s">
        <v>6</v>
      </c>
      <c r="B38" s="13"/>
      <c r="C38" s="13"/>
      <c r="D38" s="13"/>
      <c r="E38" s="13"/>
      <c r="F38" s="13"/>
    </row>
    <row r="39" spans="1:6" x14ac:dyDescent="0.2">
      <c r="A39" t="s">
        <v>1</v>
      </c>
      <c r="B39" s="13">
        <v>148615282.24000001</v>
      </c>
      <c r="C39" s="13"/>
      <c r="D39" s="13">
        <v>431402588.98000002</v>
      </c>
      <c r="E39" s="13"/>
      <c r="F39" s="13">
        <v>431402588.98000002</v>
      </c>
    </row>
    <row r="40" spans="1:6" x14ac:dyDescent="0.2">
      <c r="A40" t="s">
        <v>2</v>
      </c>
      <c r="B40" s="13">
        <v>134680920.12</v>
      </c>
      <c r="C40" s="13"/>
      <c r="D40" s="13">
        <v>391384683.68999994</v>
      </c>
      <c r="E40" s="13"/>
      <c r="F40" s="13">
        <v>391384683.68999994</v>
      </c>
    </row>
    <row r="41" spans="1:6" x14ac:dyDescent="0.2">
      <c r="A41" t="s">
        <v>0</v>
      </c>
      <c r="B41" s="13">
        <v>42275</v>
      </c>
      <c r="C41" s="13"/>
      <c r="D41" s="13">
        <v>131074</v>
      </c>
      <c r="E41" s="13"/>
      <c r="F41" s="13">
        <v>131074</v>
      </c>
    </row>
    <row r="42" spans="1:6" x14ac:dyDescent="0.2">
      <c r="A42" t="s">
        <v>30</v>
      </c>
      <c r="B42" s="13">
        <v>0</v>
      </c>
      <c r="C42" s="13"/>
      <c r="D42" s="13">
        <v>199152.03</v>
      </c>
      <c r="E42" s="13"/>
      <c r="F42" s="13">
        <v>199152.03</v>
      </c>
    </row>
    <row r="43" spans="1:6" x14ac:dyDescent="0.2">
      <c r="A43" t="s">
        <v>31</v>
      </c>
      <c r="B43" s="13">
        <v>13892087.120000001</v>
      </c>
      <c r="C43" s="13"/>
      <c r="D43" s="13">
        <v>40085983.32</v>
      </c>
      <c r="E43" s="13"/>
      <c r="F43" s="13">
        <v>40085983.32</v>
      </c>
    </row>
    <row r="44" spans="1:6" x14ac:dyDescent="0.2">
      <c r="A44" t="s">
        <v>25</v>
      </c>
      <c r="B44" s="13">
        <v>7640647.9160000011</v>
      </c>
      <c r="C44" s="13"/>
      <c r="D44" s="13">
        <v>22047290.826000001</v>
      </c>
      <c r="E44" s="13"/>
      <c r="F44" s="13">
        <v>22047290.826000001</v>
      </c>
    </row>
    <row r="45" spans="1:6" x14ac:dyDescent="0.2">
      <c r="A45" t="s">
        <v>32</v>
      </c>
      <c r="B45" s="13">
        <v>6251439.2040000018</v>
      </c>
      <c r="C45" s="13"/>
      <c r="D45" s="13">
        <v>18038692.494000003</v>
      </c>
      <c r="E45" s="13"/>
      <c r="F45" s="13">
        <v>18038692.494000003</v>
      </c>
    </row>
    <row r="46" spans="1:6" x14ac:dyDescent="0.2">
      <c r="A46" t="s">
        <v>5</v>
      </c>
      <c r="B46" s="26">
        <v>5919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x14ac:dyDescent="0.2">
      <c r="A52" s="80" t="s">
        <v>40</v>
      </c>
      <c r="B52" s="81"/>
      <c r="C52" s="81"/>
      <c r="D52" s="81"/>
      <c r="E52" s="81"/>
      <c r="F52" s="81"/>
    </row>
    <row r="53" spans="1:6" x14ac:dyDescent="0.2">
      <c r="A53" s="24" t="s">
        <v>34</v>
      </c>
    </row>
  </sheetData>
  <mergeCells count="3">
    <mergeCell ref="A1:F1"/>
    <mergeCell ref="A2:F2"/>
    <mergeCell ref="A52:F52"/>
  </mergeCells>
  <phoneticPr fontId="4" type="noConversion"/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A6" sqref="A6"/>
    </sheetView>
  </sheetViews>
  <sheetFormatPr defaultRowHeight="12.75" x14ac:dyDescent="0.2"/>
  <cols>
    <col min="1" max="1" width="24" customWidth="1"/>
    <col min="2" max="2" width="15.42578125" bestFit="1" customWidth="1"/>
    <col min="3" max="3" width="2" customWidth="1"/>
    <col min="4" max="4" width="15.42578125" bestFit="1" customWidth="1"/>
    <col min="5" max="5" width="2" customWidth="1"/>
    <col min="6" max="6" width="15" bestFit="1" customWidth="1"/>
    <col min="7" max="7" width="2" customWidth="1"/>
    <col min="8" max="8" width="15.42578125" bestFit="1" customWidth="1"/>
  </cols>
  <sheetData>
    <row r="1" spans="1:8" ht="60.75" customHeight="1" x14ac:dyDescent="0.2">
      <c r="A1" s="76"/>
      <c r="B1" s="76"/>
      <c r="C1" s="76"/>
      <c r="D1" s="76"/>
      <c r="E1" s="76"/>
      <c r="F1" s="76"/>
      <c r="G1" s="76"/>
      <c r="H1" s="76"/>
    </row>
    <row r="2" spans="1:8" ht="18" x14ac:dyDescent="0.25">
      <c r="A2" s="77" t="s">
        <v>22</v>
      </c>
      <c r="B2" s="78"/>
      <c r="C2" s="78"/>
      <c r="D2" s="78"/>
      <c r="E2" s="78"/>
      <c r="F2" s="78"/>
      <c r="G2" s="78"/>
      <c r="H2" s="78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0"/>
      <c r="C4" s="10"/>
      <c r="D4" s="16" t="s">
        <v>27</v>
      </c>
      <c r="E4" s="10"/>
      <c r="F4" s="16" t="s">
        <v>46</v>
      </c>
      <c r="G4" s="10"/>
      <c r="H4" s="16" t="s">
        <v>28</v>
      </c>
    </row>
    <row r="5" spans="1:8" x14ac:dyDescent="0.2">
      <c r="A5" s="9"/>
      <c r="B5" s="20" t="s">
        <v>45</v>
      </c>
      <c r="C5" s="9"/>
      <c r="D5" s="11" t="s">
        <v>11</v>
      </c>
      <c r="F5" s="27" t="s">
        <v>11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30840401.82</v>
      </c>
      <c r="C8" s="13"/>
      <c r="D8" s="13">
        <v>137548521.99000004</v>
      </c>
      <c r="E8" s="13"/>
      <c r="F8" s="13">
        <v>21155396.710000001</v>
      </c>
      <c r="G8" s="13"/>
      <c r="H8" s="13">
        <v>158703918.70000005</v>
      </c>
    </row>
    <row r="9" spans="1:8" x14ac:dyDescent="0.2">
      <c r="A9" t="s">
        <v>2</v>
      </c>
      <c r="B9" s="13">
        <v>27844109.25</v>
      </c>
      <c r="C9" s="13"/>
      <c r="D9" s="13">
        <v>123967222.80000001</v>
      </c>
      <c r="E9" s="13"/>
      <c r="F9" s="13">
        <v>19171110.73</v>
      </c>
      <c r="G9" s="13"/>
      <c r="H9" s="13">
        <v>143138333.53</v>
      </c>
    </row>
    <row r="10" spans="1:8" x14ac:dyDescent="0.2">
      <c r="A10" t="s">
        <v>0</v>
      </c>
      <c r="B10" s="13">
        <v>0</v>
      </c>
      <c r="C10" s="13"/>
      <c r="D10" s="13">
        <v>6410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199152.03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2996292.57</v>
      </c>
      <c r="C12" s="13"/>
      <c r="D12" s="13">
        <v>13774041.220000001</v>
      </c>
      <c r="E12" s="13"/>
      <c r="F12" s="13">
        <v>1984285.98</v>
      </c>
      <c r="G12" s="13"/>
      <c r="H12" s="13">
        <v>15758327.199999999</v>
      </c>
    </row>
    <row r="13" spans="1:8" x14ac:dyDescent="0.2">
      <c r="A13" t="s">
        <v>25</v>
      </c>
      <c r="B13" s="13">
        <v>1647960.9135</v>
      </c>
      <c r="C13" s="13"/>
      <c r="D13" s="13">
        <v>7575722.671000001</v>
      </c>
      <c r="E13" s="13"/>
      <c r="F13" s="13">
        <v>1091357.2890000001</v>
      </c>
      <c r="G13" s="13"/>
      <c r="H13" s="13">
        <v>8667079.9600000009</v>
      </c>
    </row>
    <row r="14" spans="1:8" x14ac:dyDescent="0.2">
      <c r="A14" t="s">
        <v>32</v>
      </c>
      <c r="B14" s="13">
        <v>1348331.6565</v>
      </c>
      <c r="C14" s="13"/>
      <c r="D14" s="13">
        <v>6198318.5490000006</v>
      </c>
      <c r="E14" s="13"/>
      <c r="F14" s="13">
        <v>892928.69099999999</v>
      </c>
      <c r="G14" s="13"/>
      <c r="H14" s="13">
        <v>7091247.2400000002</v>
      </c>
    </row>
    <row r="15" spans="1:8" x14ac:dyDescent="0.2">
      <c r="A15" t="s">
        <v>5</v>
      </c>
      <c r="B15" s="28">
        <v>1099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57376920.469999999</v>
      </c>
      <c r="C19" s="13"/>
      <c r="D19" s="13">
        <v>252485336.73999998</v>
      </c>
      <c r="E19" s="13"/>
      <c r="F19" s="13">
        <v>39315601.100000001</v>
      </c>
      <c r="G19" s="13"/>
      <c r="H19" s="13">
        <v>291800937.83999997</v>
      </c>
    </row>
    <row r="20" spans="1:8" x14ac:dyDescent="0.2">
      <c r="A20" t="s">
        <v>2</v>
      </c>
      <c r="B20" s="13">
        <v>52471913.329999998</v>
      </c>
      <c r="C20" s="13"/>
      <c r="D20" s="13">
        <v>230131304.66</v>
      </c>
      <c r="E20" s="13"/>
      <c r="F20" s="13">
        <v>35952008.810000002</v>
      </c>
      <c r="G20" s="13"/>
      <c r="H20" s="13">
        <v>266083313.47</v>
      </c>
    </row>
    <row r="21" spans="1:8" x14ac:dyDescent="0.2">
      <c r="A21" t="s">
        <v>0</v>
      </c>
      <c r="B21" s="13">
        <v>88706.55</v>
      </c>
      <c r="C21" s="13"/>
      <c r="D21" s="13">
        <v>138173</v>
      </c>
      <c r="E21" s="13"/>
      <c r="F21" s="13">
        <v>74607.55</v>
      </c>
      <c r="G21" s="13"/>
      <c r="H21" s="13">
        <v>212780.55</v>
      </c>
    </row>
    <row r="22" spans="1:8" x14ac:dyDescent="0.2">
      <c r="A22" t="s">
        <v>31</v>
      </c>
      <c r="B22" s="13">
        <v>4816300.59</v>
      </c>
      <c r="C22" s="13"/>
      <c r="D22" s="13">
        <v>22215859.080000006</v>
      </c>
      <c r="E22" s="13"/>
      <c r="F22" s="13">
        <v>3288984.74</v>
      </c>
      <c r="G22" s="13"/>
      <c r="H22" s="13">
        <v>25504843.820000008</v>
      </c>
    </row>
    <row r="23" spans="1:8" x14ac:dyDescent="0.2">
      <c r="A23" t="s">
        <v>25</v>
      </c>
      <c r="B23" s="13">
        <v>2648965.3245000001</v>
      </c>
      <c r="C23" s="13"/>
      <c r="D23" s="13">
        <v>12218722.494000005</v>
      </c>
      <c r="E23" s="13"/>
      <c r="F23" s="13">
        <v>1808941.6070000003</v>
      </c>
      <c r="G23" s="13"/>
      <c r="H23" s="13">
        <v>14027664.101000005</v>
      </c>
    </row>
    <row r="24" spans="1:8" x14ac:dyDescent="0.2">
      <c r="A24" t="s">
        <v>32</v>
      </c>
      <c r="B24" s="13">
        <v>2167335.2655000002</v>
      </c>
      <c r="C24" s="13"/>
      <c r="D24" s="13">
        <v>9997136.5860000029</v>
      </c>
      <c r="E24" s="13"/>
      <c r="F24" s="13">
        <v>1480043.1330000001</v>
      </c>
      <c r="G24" s="13"/>
      <c r="H24" s="13">
        <v>11477179.719000004</v>
      </c>
    </row>
    <row r="25" spans="1:8" x14ac:dyDescent="0.2">
      <c r="A25" t="s">
        <v>5</v>
      </c>
      <c r="B25" s="28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64182562.520000003</v>
      </c>
      <c r="C29" s="13"/>
      <c r="D29" s="13">
        <v>90472625.069999993</v>
      </c>
      <c r="E29" s="13"/>
      <c r="F29" s="13">
        <v>42824992.180000007</v>
      </c>
      <c r="G29" s="13"/>
      <c r="H29" s="13">
        <v>133297617.25</v>
      </c>
    </row>
    <row r="30" spans="1:8" x14ac:dyDescent="0.2">
      <c r="A30" t="s">
        <v>2</v>
      </c>
      <c r="B30" s="13">
        <v>58146371.159999996</v>
      </c>
      <c r="C30" s="13"/>
      <c r="D30" s="13">
        <v>81883560.190000013</v>
      </c>
      <c r="E30" s="13"/>
      <c r="F30" s="13">
        <v>38741870.239999995</v>
      </c>
      <c r="G30" s="13"/>
      <c r="H30" s="13">
        <v>120625430.43000001</v>
      </c>
    </row>
    <row r="31" spans="1:8" x14ac:dyDescent="0.2">
      <c r="A31" t="s">
        <v>0</v>
      </c>
      <c r="B31" s="13">
        <v>0</v>
      </c>
      <c r="C31" s="13"/>
      <c r="D31" s="13">
        <v>590</v>
      </c>
      <c r="E31" s="13"/>
      <c r="F31" s="13">
        <v>0</v>
      </c>
      <c r="G31" s="13"/>
      <c r="H31" s="13">
        <v>590</v>
      </c>
    </row>
    <row r="32" spans="1:8" x14ac:dyDescent="0.2">
      <c r="A32" t="s">
        <v>31</v>
      </c>
      <c r="B32" s="13">
        <v>6036191.3600000069</v>
      </c>
      <c r="C32" s="13"/>
      <c r="D32" s="13">
        <v>8588474.879999999</v>
      </c>
      <c r="E32" s="13"/>
      <c r="F32" s="13">
        <v>4083121.94</v>
      </c>
      <c r="G32" s="13"/>
      <c r="H32" s="13">
        <v>12671596.82</v>
      </c>
    </row>
    <row r="33" spans="1:8" x14ac:dyDescent="0.2">
      <c r="A33" t="s">
        <v>25</v>
      </c>
      <c r="B33" s="13">
        <v>3319905.2480000039</v>
      </c>
      <c r="C33" s="13"/>
      <c r="D33" s="13">
        <v>4723661.1839999994</v>
      </c>
      <c r="E33" s="13"/>
      <c r="F33" s="13">
        <v>2245717.0670000003</v>
      </c>
      <c r="G33" s="13"/>
      <c r="H33" s="13">
        <v>6969378.2510000011</v>
      </c>
    </row>
    <row r="34" spans="1:8" x14ac:dyDescent="0.2">
      <c r="A34" t="s">
        <v>32</v>
      </c>
      <c r="B34" s="13">
        <v>2716286.112000003</v>
      </c>
      <c r="C34" s="13"/>
      <c r="D34" s="13">
        <v>3864813.6959999995</v>
      </c>
      <c r="E34" s="13"/>
      <c r="F34" s="13">
        <v>1837404.8729999999</v>
      </c>
      <c r="G34" s="13"/>
      <c r="H34" s="13">
        <v>5702218.5690000001</v>
      </c>
    </row>
    <row r="35" spans="1:8" x14ac:dyDescent="0.2">
      <c r="A35" t="s">
        <v>5</v>
      </c>
      <c r="B35" s="28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A38" s="8" t="s">
        <v>6</v>
      </c>
      <c r="B38" s="13"/>
      <c r="C38" s="13"/>
      <c r="D38" s="13"/>
      <c r="E38" s="13"/>
      <c r="F38" s="13"/>
      <c r="G38" s="13"/>
      <c r="H38" s="13"/>
    </row>
    <row r="39" spans="1:8" x14ac:dyDescent="0.2">
      <c r="A39" t="s">
        <v>1</v>
      </c>
      <c r="B39" s="13">
        <v>152399884.81</v>
      </c>
      <c r="C39" s="13"/>
      <c r="D39" s="13">
        <v>480506483.80000001</v>
      </c>
      <c r="E39" s="13"/>
      <c r="F39" s="13">
        <v>103295989.98999999</v>
      </c>
      <c r="G39" s="13"/>
      <c r="H39" s="13">
        <v>583802473.78999996</v>
      </c>
    </row>
    <row r="40" spans="1:8" x14ac:dyDescent="0.2">
      <c r="A40" t="s">
        <v>2</v>
      </c>
      <c r="B40" s="13">
        <v>138462393.74000001</v>
      </c>
      <c r="C40" s="13"/>
      <c r="D40" s="13">
        <v>435982087.64999998</v>
      </c>
      <c r="E40" s="13"/>
      <c r="F40" s="13">
        <v>93864989.780000001</v>
      </c>
      <c r="G40" s="13"/>
      <c r="H40" s="13">
        <v>529847077.42999995</v>
      </c>
    </row>
    <row r="41" spans="1:8" x14ac:dyDescent="0.2">
      <c r="A41" t="s">
        <v>0</v>
      </c>
      <c r="B41" s="13">
        <v>88706.55</v>
      </c>
      <c r="C41" s="13"/>
      <c r="D41" s="13">
        <v>145173</v>
      </c>
      <c r="E41" s="13"/>
      <c r="F41" s="13">
        <v>74607.55</v>
      </c>
      <c r="G41" s="13"/>
      <c r="H41" s="13">
        <v>219780.55</v>
      </c>
    </row>
    <row r="42" spans="1:8" x14ac:dyDescent="0.2">
      <c r="A42" t="s">
        <v>30</v>
      </c>
      <c r="B42" s="13">
        <v>0</v>
      </c>
      <c r="C42" s="13"/>
      <c r="D42" s="13">
        <v>199152.03</v>
      </c>
      <c r="E42" s="13"/>
      <c r="F42" s="13">
        <v>0</v>
      </c>
      <c r="G42" s="13"/>
      <c r="H42" s="13">
        <v>199152.03</v>
      </c>
    </row>
    <row r="43" spans="1:8" x14ac:dyDescent="0.2">
      <c r="A43" t="s">
        <v>31</v>
      </c>
      <c r="B43" s="13">
        <v>13848784.520000007</v>
      </c>
      <c r="C43" s="13"/>
      <c r="D43" s="13">
        <v>44578375.179999992</v>
      </c>
      <c r="E43" s="13"/>
      <c r="F43" s="13">
        <v>9356392.6600000001</v>
      </c>
      <c r="G43" s="13"/>
      <c r="H43" s="13">
        <v>53934767.839999989</v>
      </c>
    </row>
    <row r="44" spans="1:8" x14ac:dyDescent="0.2">
      <c r="A44" t="s">
        <v>25</v>
      </c>
      <c r="B44" s="13">
        <v>7616831.4860000033</v>
      </c>
      <c r="C44" s="13"/>
      <c r="D44" s="13">
        <v>24518106.348999999</v>
      </c>
      <c r="E44" s="13"/>
      <c r="F44" s="13">
        <v>5146015.9630000005</v>
      </c>
      <c r="G44" s="13"/>
      <c r="H44" s="13">
        <v>29664122.311999995</v>
      </c>
    </row>
    <row r="45" spans="1:8" x14ac:dyDescent="0.2">
      <c r="A45" t="s">
        <v>32</v>
      </c>
      <c r="B45" s="13">
        <v>6231953.0340000037</v>
      </c>
      <c r="C45" s="13"/>
      <c r="D45" s="13">
        <v>20060268.830999997</v>
      </c>
      <c r="E45" s="13"/>
      <c r="F45" s="13">
        <v>4210376.6970000006</v>
      </c>
      <c r="G45" s="13"/>
      <c r="H45" s="13">
        <v>24270645.527999997</v>
      </c>
    </row>
    <row r="46" spans="1:8" x14ac:dyDescent="0.2">
      <c r="A46" t="s">
        <v>5</v>
      </c>
      <c r="B46" s="28">
        <v>5919</v>
      </c>
      <c r="C46" s="13"/>
      <c r="D46" s="13"/>
      <c r="E46" s="13"/>
      <c r="F46" s="13"/>
      <c r="G46" s="13"/>
      <c r="H46" s="13"/>
    </row>
    <row r="49" spans="1:8" x14ac:dyDescent="0.2">
      <c r="A49" s="19" t="s">
        <v>33</v>
      </c>
    </row>
    <row r="50" spans="1:8" x14ac:dyDescent="0.2">
      <c r="A50" s="24" t="s">
        <v>36</v>
      </c>
    </row>
    <row r="51" spans="1:8" x14ac:dyDescent="0.2">
      <c r="A51" s="24" t="s">
        <v>35</v>
      </c>
    </row>
    <row r="52" spans="1:8" ht="24" customHeight="1" x14ac:dyDescent="0.2">
      <c r="A52" s="80" t="s">
        <v>40</v>
      </c>
      <c r="B52" s="81"/>
      <c r="C52" s="81"/>
      <c r="D52" s="81"/>
      <c r="E52" s="81"/>
      <c r="F52" s="81"/>
      <c r="G52" s="81"/>
      <c r="H52" s="81"/>
    </row>
    <row r="53" spans="1:8" x14ac:dyDescent="0.2">
      <c r="A53" s="24" t="s">
        <v>34</v>
      </c>
    </row>
  </sheetData>
  <mergeCells count="3">
    <mergeCell ref="A1:H1"/>
    <mergeCell ref="A2:H2"/>
    <mergeCell ref="A52:H52"/>
  </mergeCells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A13" sqref="A13"/>
    </sheetView>
  </sheetViews>
  <sheetFormatPr defaultRowHeight="12.75" x14ac:dyDescent="0.2"/>
  <cols>
    <col min="1" max="1" width="24" customWidth="1"/>
    <col min="2" max="2" width="15.42578125" bestFit="1" customWidth="1"/>
    <col min="3" max="3" width="4" customWidth="1"/>
    <col min="4" max="4" width="15.42578125" bestFit="1" customWidth="1"/>
    <col min="5" max="5" width="3.7109375" customWidth="1"/>
    <col min="6" max="6" width="15.42578125" bestFit="1" customWidth="1"/>
  </cols>
  <sheetData>
    <row r="1" spans="1:6" ht="60.75" customHeight="1" x14ac:dyDescent="0.2">
      <c r="A1" s="76"/>
      <c r="B1" s="76"/>
      <c r="C1" s="76"/>
      <c r="D1" s="76"/>
      <c r="E1" s="76"/>
      <c r="F1" s="76"/>
    </row>
    <row r="2" spans="1:6" ht="18" x14ac:dyDescent="0.25">
      <c r="A2" s="77" t="s">
        <v>22</v>
      </c>
      <c r="B2" s="78"/>
      <c r="C2" s="78"/>
      <c r="D2" s="78"/>
      <c r="E2" s="78"/>
      <c r="F2" s="78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46</v>
      </c>
      <c r="E4" s="10"/>
      <c r="F4" s="16" t="s">
        <v>28</v>
      </c>
    </row>
    <row r="5" spans="1:6" x14ac:dyDescent="0.2">
      <c r="A5" s="9"/>
      <c r="B5" s="20" t="s">
        <v>47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35040324.609999999</v>
      </c>
      <c r="C8" s="13"/>
      <c r="D8" s="13">
        <v>56195721.32</v>
      </c>
      <c r="E8" s="13"/>
      <c r="F8" s="13">
        <v>193744243.31000003</v>
      </c>
    </row>
    <row r="9" spans="1:6" x14ac:dyDescent="0.2">
      <c r="A9" t="s">
        <v>2</v>
      </c>
      <c r="B9" s="13">
        <v>31595485.82</v>
      </c>
      <c r="C9" s="13"/>
      <c r="D9" s="13">
        <v>50766596.549999997</v>
      </c>
      <c r="E9" s="13"/>
      <c r="F9" s="13">
        <v>174733819.35000002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3444838.79</v>
      </c>
      <c r="C12" s="13"/>
      <c r="D12" s="13">
        <v>5429124.7699999977</v>
      </c>
      <c r="E12" s="13"/>
      <c r="F12" s="13">
        <v>19203165.989999998</v>
      </c>
    </row>
    <row r="13" spans="1:6" x14ac:dyDescent="0.2">
      <c r="A13" t="s">
        <v>25</v>
      </c>
      <c r="B13" s="13">
        <v>1894661.3345000001</v>
      </c>
      <c r="C13" s="13"/>
      <c r="D13" s="13">
        <v>2986018.6234999988</v>
      </c>
      <c r="E13" s="13"/>
      <c r="F13" s="13">
        <v>10561741.294500001</v>
      </c>
    </row>
    <row r="14" spans="1:6" x14ac:dyDescent="0.2">
      <c r="A14" t="s">
        <v>32</v>
      </c>
      <c r="B14" s="13">
        <v>1550177.4555000002</v>
      </c>
      <c r="C14" s="13"/>
      <c r="D14" s="13">
        <v>2443106.1464999989</v>
      </c>
      <c r="E14" s="13"/>
      <c r="F14" s="13">
        <v>8641424.6954999994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57332241.439999998</v>
      </c>
      <c r="C19" s="13"/>
      <c r="D19" s="13">
        <v>96647842.539999992</v>
      </c>
      <c r="E19" s="13"/>
      <c r="F19" s="13">
        <v>349133179.27999997</v>
      </c>
    </row>
    <row r="20" spans="1:6" x14ac:dyDescent="0.2">
      <c r="A20" t="s">
        <v>2</v>
      </c>
      <c r="B20" s="13">
        <v>52348699.799999997</v>
      </c>
      <c r="C20" s="13"/>
      <c r="D20" s="13">
        <v>88300708.609999985</v>
      </c>
      <c r="E20" s="13"/>
      <c r="F20" s="13">
        <v>318432013.26999998</v>
      </c>
    </row>
    <row r="21" spans="1:6" x14ac:dyDescent="0.2">
      <c r="A21" t="s">
        <v>0</v>
      </c>
      <c r="B21" s="13">
        <v>73792.95</v>
      </c>
      <c r="C21" s="13"/>
      <c r="D21" s="13">
        <v>148400.5</v>
      </c>
      <c r="E21" s="13"/>
      <c r="F21" s="13">
        <v>286573.5</v>
      </c>
    </row>
    <row r="22" spans="1:6" x14ac:dyDescent="0.2">
      <c r="A22" t="s">
        <v>31</v>
      </c>
      <c r="B22" s="13">
        <v>4909748.6900000004</v>
      </c>
      <c r="C22" s="13"/>
      <c r="D22" s="13">
        <v>8198733.4300000006</v>
      </c>
      <c r="E22" s="13"/>
      <c r="F22" s="13">
        <v>30414592.510000005</v>
      </c>
    </row>
    <row r="23" spans="1:6" x14ac:dyDescent="0.2">
      <c r="A23" t="s">
        <v>25</v>
      </c>
      <c r="B23" s="13">
        <v>2700361.7795000006</v>
      </c>
      <c r="C23" s="13"/>
      <c r="D23" s="13">
        <v>4509303.386500001</v>
      </c>
      <c r="E23" s="13"/>
      <c r="F23" s="13">
        <v>16728025.880500004</v>
      </c>
    </row>
    <row r="24" spans="1:6" x14ac:dyDescent="0.2">
      <c r="A24" t="s">
        <v>32</v>
      </c>
      <c r="B24" s="13">
        <v>2209386.9105000002</v>
      </c>
      <c r="C24" s="13"/>
      <c r="D24" s="13">
        <v>3689430.0435000001</v>
      </c>
      <c r="E24" s="13"/>
      <c r="F24" s="13">
        <v>13686566.629500004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53459698.75</v>
      </c>
      <c r="C29" s="13"/>
      <c r="D29" s="13">
        <v>96284690.930000007</v>
      </c>
      <c r="E29" s="13"/>
      <c r="F29" s="13">
        <v>186757316</v>
      </c>
    </row>
    <row r="30" spans="1:6" x14ac:dyDescent="0.2">
      <c r="A30" t="s">
        <v>2</v>
      </c>
      <c r="B30" s="13">
        <v>48251729.799999997</v>
      </c>
      <c r="C30" s="13"/>
      <c r="D30" s="13">
        <v>86993600.039999992</v>
      </c>
      <c r="E30" s="13"/>
      <c r="F30" s="13">
        <v>168877160.23000002</v>
      </c>
    </row>
    <row r="31" spans="1:6" x14ac:dyDescent="0.2">
      <c r="A31" t="s">
        <v>0</v>
      </c>
      <c r="B31" s="13">
        <v>0</v>
      </c>
      <c r="C31" s="13"/>
      <c r="D31" s="13">
        <v>0</v>
      </c>
      <c r="E31" s="13"/>
      <c r="F31" s="13">
        <v>590</v>
      </c>
    </row>
    <row r="32" spans="1:6" x14ac:dyDescent="0.2">
      <c r="A32" t="s">
        <v>31</v>
      </c>
      <c r="B32" s="13">
        <v>5207968.95</v>
      </c>
      <c r="C32" s="13"/>
      <c r="D32" s="13">
        <v>9291090.8900000006</v>
      </c>
      <c r="E32" s="13"/>
      <c r="F32" s="13">
        <v>17879565.77</v>
      </c>
    </row>
    <row r="33" spans="1:6" x14ac:dyDescent="0.2">
      <c r="A33" t="s">
        <v>25</v>
      </c>
      <c r="B33" s="13">
        <v>2864382.9225000003</v>
      </c>
      <c r="C33" s="13"/>
      <c r="D33" s="13">
        <v>5110099.9895000011</v>
      </c>
      <c r="E33" s="13"/>
      <c r="F33" s="13">
        <v>9833761.1735000014</v>
      </c>
    </row>
    <row r="34" spans="1:6" x14ac:dyDescent="0.2">
      <c r="A34" t="s">
        <v>32</v>
      </c>
      <c r="B34" s="13">
        <v>2343586.0275000003</v>
      </c>
      <c r="C34" s="13"/>
      <c r="D34" s="13">
        <v>4180990.9005000005</v>
      </c>
      <c r="E34" s="13"/>
      <c r="F34" s="13">
        <v>8045804.5965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A38" s="8" t="s">
        <v>6</v>
      </c>
      <c r="B38" s="13"/>
      <c r="C38" s="13"/>
      <c r="D38" s="13"/>
      <c r="E38" s="13"/>
      <c r="F38" s="13"/>
    </row>
    <row r="39" spans="1:6" x14ac:dyDescent="0.2">
      <c r="A39" t="s">
        <v>1</v>
      </c>
      <c r="B39" s="13">
        <v>145832264.80000001</v>
      </c>
      <c r="C39" s="13"/>
      <c r="D39" s="13">
        <v>249128254.78999996</v>
      </c>
      <c r="E39" s="13"/>
      <c r="F39" s="13">
        <v>729634738.58999991</v>
      </c>
    </row>
    <row r="40" spans="1:6" x14ac:dyDescent="0.2">
      <c r="A40" t="s">
        <v>2</v>
      </c>
      <c r="B40" s="13">
        <v>132195915.41999999</v>
      </c>
      <c r="C40" s="13"/>
      <c r="D40" s="13">
        <v>226060905.20000002</v>
      </c>
      <c r="E40" s="13"/>
      <c r="F40" s="13">
        <v>662042992.85000002</v>
      </c>
    </row>
    <row r="41" spans="1:6" x14ac:dyDescent="0.2">
      <c r="A41" t="s">
        <v>0</v>
      </c>
      <c r="B41" s="13">
        <v>73792.95</v>
      </c>
      <c r="C41" s="13"/>
      <c r="D41" s="13">
        <v>148400.5</v>
      </c>
      <c r="E41" s="13"/>
      <c r="F41" s="13">
        <v>293573.5</v>
      </c>
    </row>
    <row r="42" spans="1:6" x14ac:dyDescent="0.2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">
      <c r="A43" t="s">
        <v>31</v>
      </c>
      <c r="B43" s="13">
        <v>13562556.43</v>
      </c>
      <c r="C43" s="13"/>
      <c r="D43" s="13">
        <v>22918949.089999996</v>
      </c>
      <c r="E43" s="13"/>
      <c r="F43" s="13">
        <v>67497324.269999981</v>
      </c>
    </row>
    <row r="44" spans="1:6" x14ac:dyDescent="0.2">
      <c r="A44" t="s">
        <v>25</v>
      </c>
      <c r="B44" s="13">
        <v>7459406.0365000004</v>
      </c>
      <c r="C44" s="13"/>
      <c r="D44" s="13">
        <v>12605421.999499999</v>
      </c>
      <c r="E44" s="13"/>
      <c r="F44" s="13">
        <v>37123528.348499991</v>
      </c>
    </row>
    <row r="45" spans="1:6" x14ac:dyDescent="0.2">
      <c r="A45" t="s">
        <v>32</v>
      </c>
      <c r="B45" s="13">
        <v>6103150.3935000002</v>
      </c>
      <c r="C45" s="13"/>
      <c r="D45" s="13">
        <v>10313527.090499999</v>
      </c>
      <c r="E45" s="13"/>
      <c r="F45" s="13">
        <v>30373795.921499994</v>
      </c>
    </row>
    <row r="46" spans="1:6" x14ac:dyDescent="0.2">
      <c r="A46" t="s">
        <v>5</v>
      </c>
      <c r="B46" s="26">
        <v>5919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x14ac:dyDescent="0.2">
      <c r="A52" s="80" t="s">
        <v>40</v>
      </c>
      <c r="B52" s="81"/>
      <c r="C52" s="81"/>
      <c r="D52" s="81"/>
      <c r="E52" s="81"/>
      <c r="F52" s="81"/>
    </row>
    <row r="53" spans="1:6" x14ac:dyDescent="0.2">
      <c r="A53" s="24" t="s">
        <v>34</v>
      </c>
    </row>
  </sheetData>
  <mergeCells count="3">
    <mergeCell ref="A1:F1"/>
    <mergeCell ref="A2:F2"/>
    <mergeCell ref="A52:F52"/>
  </mergeCells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5.42578125" bestFit="1" customWidth="1"/>
    <col min="3" max="3" width="4" customWidth="1"/>
    <col min="4" max="4" width="15.42578125" bestFit="1" customWidth="1"/>
    <col min="5" max="5" width="3.7109375" customWidth="1"/>
    <col min="6" max="6" width="15.42578125" bestFit="1" customWidth="1"/>
  </cols>
  <sheetData>
    <row r="1" spans="1:6" ht="60.75" customHeight="1" x14ac:dyDescent="0.2">
      <c r="A1" s="76"/>
      <c r="B1" s="76"/>
      <c r="C1" s="76"/>
      <c r="D1" s="76"/>
      <c r="E1" s="76"/>
      <c r="F1" s="76"/>
    </row>
    <row r="2" spans="1:6" ht="18" x14ac:dyDescent="0.25">
      <c r="A2" s="77" t="s">
        <v>22</v>
      </c>
      <c r="B2" s="78"/>
      <c r="C2" s="78"/>
      <c r="D2" s="78"/>
      <c r="E2" s="78"/>
      <c r="F2" s="78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46</v>
      </c>
      <c r="E4" s="10"/>
      <c r="F4" s="16" t="s">
        <v>28</v>
      </c>
    </row>
    <row r="5" spans="1:6" x14ac:dyDescent="0.2">
      <c r="A5" s="9"/>
      <c r="B5" s="20" t="s">
        <v>48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24722230.489999998</v>
      </c>
      <c r="C8" s="13"/>
      <c r="D8" s="13">
        <v>80917951.810000002</v>
      </c>
      <c r="E8" s="13"/>
      <c r="F8" s="13">
        <v>218466473.80000004</v>
      </c>
    </row>
    <row r="9" spans="1:6" x14ac:dyDescent="0.2">
      <c r="A9" t="s">
        <v>2</v>
      </c>
      <c r="B9" s="13">
        <v>22455472.530000001</v>
      </c>
      <c r="C9" s="13"/>
      <c r="D9" s="13">
        <v>73222069.079999998</v>
      </c>
      <c r="E9" s="13"/>
      <c r="F9" s="13">
        <v>197189291.88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2266757.96</v>
      </c>
      <c r="C12" s="13"/>
      <c r="D12" s="13">
        <v>7695882.7299999967</v>
      </c>
      <c r="E12" s="13"/>
      <c r="F12" s="13">
        <v>21469923.949999996</v>
      </c>
    </row>
    <row r="13" spans="1:6" x14ac:dyDescent="0.2">
      <c r="A13" t="s">
        <v>25</v>
      </c>
      <c r="B13" s="13">
        <v>1246716.878</v>
      </c>
      <c r="C13" s="13"/>
      <c r="D13" s="13">
        <v>4232735.5014999984</v>
      </c>
      <c r="E13" s="13"/>
      <c r="F13" s="13">
        <v>11808458.172499999</v>
      </c>
    </row>
    <row r="14" spans="1:6" x14ac:dyDescent="0.2">
      <c r="A14" t="s">
        <v>32</v>
      </c>
      <c r="B14" s="13">
        <v>1020041.0820000001</v>
      </c>
      <c r="C14" s="13"/>
      <c r="D14" s="13">
        <v>3463147.2284999988</v>
      </c>
      <c r="E14" s="13"/>
      <c r="F14" s="13">
        <v>9661465.777499998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52767551.880000003</v>
      </c>
      <c r="C19" s="13"/>
      <c r="D19" s="13">
        <v>149415394.41999999</v>
      </c>
      <c r="E19" s="13"/>
      <c r="F19" s="13">
        <v>401900731.15999997</v>
      </c>
    </row>
    <row r="20" spans="1:6" x14ac:dyDescent="0.2">
      <c r="A20" t="s">
        <v>2</v>
      </c>
      <c r="B20" s="13">
        <v>48003760.789999999</v>
      </c>
      <c r="C20" s="13"/>
      <c r="D20" s="13">
        <v>136304469.40000001</v>
      </c>
      <c r="E20" s="13"/>
      <c r="F20" s="13">
        <v>366435774.06</v>
      </c>
    </row>
    <row r="21" spans="1:6" x14ac:dyDescent="0.2">
      <c r="A21" t="s">
        <v>0</v>
      </c>
      <c r="B21" s="13">
        <v>67125.3</v>
      </c>
      <c r="C21" s="13"/>
      <c r="D21" s="13">
        <v>215525.8</v>
      </c>
      <c r="E21" s="13"/>
      <c r="F21" s="13">
        <v>353698.8</v>
      </c>
    </row>
    <row r="22" spans="1:6" x14ac:dyDescent="0.2">
      <c r="A22" t="s">
        <v>31</v>
      </c>
      <c r="B22" s="13">
        <v>4696665.79</v>
      </c>
      <c r="C22" s="13"/>
      <c r="D22" s="13">
        <v>12895399.220000003</v>
      </c>
      <c r="E22" s="13"/>
      <c r="F22" s="13">
        <v>35111258.300000012</v>
      </c>
    </row>
    <row r="23" spans="1:6" x14ac:dyDescent="0.2">
      <c r="A23" t="s">
        <v>25</v>
      </c>
      <c r="B23" s="13">
        <v>2583166.1845000004</v>
      </c>
      <c r="C23" s="13"/>
      <c r="D23" s="13">
        <v>7092469.5710000023</v>
      </c>
      <c r="E23" s="13"/>
      <c r="F23" s="13">
        <v>19311192.065000009</v>
      </c>
    </row>
    <row r="24" spans="1:6" x14ac:dyDescent="0.2">
      <c r="A24" t="s">
        <v>32</v>
      </c>
      <c r="B24" s="13">
        <v>2113499.6055000001</v>
      </c>
      <c r="C24" s="13"/>
      <c r="D24" s="13">
        <v>5802929.6490000011</v>
      </c>
      <c r="E24" s="13"/>
      <c r="F24" s="13">
        <v>15800066.235000005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45632968.439999998</v>
      </c>
      <c r="C29" s="13"/>
      <c r="D29" s="13">
        <v>141917659.37</v>
      </c>
      <c r="E29" s="13"/>
      <c r="F29" s="13">
        <v>232390284.44</v>
      </c>
    </row>
    <row r="30" spans="1:6" x14ac:dyDescent="0.2">
      <c r="A30" t="s">
        <v>2</v>
      </c>
      <c r="B30" s="13">
        <v>41214073.939999998</v>
      </c>
      <c r="C30" s="13"/>
      <c r="D30" s="13">
        <v>128207673.97999999</v>
      </c>
      <c r="E30" s="13"/>
      <c r="F30" s="13">
        <v>210091234.17000002</v>
      </c>
    </row>
    <row r="31" spans="1:6" x14ac:dyDescent="0.2">
      <c r="A31" t="s">
        <v>0</v>
      </c>
      <c r="B31" s="13">
        <v>555</v>
      </c>
      <c r="C31" s="13"/>
      <c r="D31" s="13">
        <v>555</v>
      </c>
      <c r="E31" s="13"/>
      <c r="F31" s="13">
        <v>1145</v>
      </c>
    </row>
    <row r="32" spans="1:6" x14ac:dyDescent="0.2">
      <c r="A32" t="s">
        <v>31</v>
      </c>
      <c r="B32" s="13">
        <v>4418339.5</v>
      </c>
      <c r="C32" s="13"/>
      <c r="D32" s="13">
        <v>13709430.389999999</v>
      </c>
      <c r="E32" s="13"/>
      <c r="F32" s="13">
        <v>22297905.269999996</v>
      </c>
    </row>
    <row r="33" spans="1:6" x14ac:dyDescent="0.2">
      <c r="A33" t="s">
        <v>25</v>
      </c>
      <c r="B33" s="13">
        <v>2430086.7250000001</v>
      </c>
      <c r="C33" s="13"/>
      <c r="D33" s="13">
        <v>7540186.7144999998</v>
      </c>
      <c r="E33" s="13"/>
      <c r="F33" s="13">
        <v>12263847.898499999</v>
      </c>
    </row>
    <row r="34" spans="1:6" x14ac:dyDescent="0.2">
      <c r="A34" t="s">
        <v>32</v>
      </c>
      <c r="B34" s="13">
        <v>1988252.7750000001</v>
      </c>
      <c r="C34" s="13"/>
      <c r="D34" s="13">
        <v>6169243.6754999999</v>
      </c>
      <c r="E34" s="13"/>
      <c r="F34" s="13">
        <v>10034057.371499998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A38" s="8" t="s">
        <v>6</v>
      </c>
      <c r="B38" s="13"/>
      <c r="C38" s="13"/>
      <c r="D38" s="13"/>
      <c r="E38" s="13"/>
      <c r="F38" s="13"/>
    </row>
    <row r="39" spans="1:6" x14ac:dyDescent="0.2">
      <c r="A39" t="s">
        <v>1</v>
      </c>
      <c r="B39" s="13">
        <v>123122750.80999999</v>
      </c>
      <c r="C39" s="13"/>
      <c r="D39" s="13">
        <v>372251005.59999996</v>
      </c>
      <c r="E39" s="13"/>
      <c r="F39" s="13">
        <v>852757489.39999998</v>
      </c>
    </row>
    <row r="40" spans="1:6" x14ac:dyDescent="0.2">
      <c r="A40" t="s">
        <v>2</v>
      </c>
      <c r="B40" s="13">
        <v>111673307.25999999</v>
      </c>
      <c r="C40" s="13"/>
      <c r="D40" s="13">
        <v>337734212.46000004</v>
      </c>
      <c r="E40" s="13"/>
      <c r="F40" s="13">
        <v>773716300.11000001</v>
      </c>
    </row>
    <row r="41" spans="1:6" x14ac:dyDescent="0.2">
      <c r="A41" t="s">
        <v>0</v>
      </c>
      <c r="B41" s="13">
        <v>67680.3</v>
      </c>
      <c r="C41" s="13"/>
      <c r="D41" s="13">
        <v>216080.8</v>
      </c>
      <c r="E41" s="13"/>
      <c r="F41" s="13">
        <v>361253.8</v>
      </c>
    </row>
    <row r="42" spans="1:6" x14ac:dyDescent="0.2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">
      <c r="A43" t="s">
        <v>31</v>
      </c>
      <c r="B43" s="13">
        <v>11381763.249999996</v>
      </c>
      <c r="C43" s="13"/>
      <c r="D43" s="13">
        <v>34300712.339999996</v>
      </c>
      <c r="E43" s="13"/>
      <c r="F43" s="13">
        <v>78879087.519999981</v>
      </c>
    </row>
    <row r="44" spans="1:6" x14ac:dyDescent="0.2">
      <c r="A44" t="s">
        <v>25</v>
      </c>
      <c r="B44" s="13">
        <v>6259969.7874999987</v>
      </c>
      <c r="C44" s="13"/>
      <c r="D44" s="13">
        <v>18865391.787</v>
      </c>
      <c r="E44" s="13"/>
      <c r="F44" s="13">
        <v>43383498.135999992</v>
      </c>
    </row>
    <row r="45" spans="1:6" x14ac:dyDescent="0.2">
      <c r="A45" t="s">
        <v>32</v>
      </c>
      <c r="B45" s="13">
        <v>5121793.4624999985</v>
      </c>
      <c r="C45" s="13"/>
      <c r="D45" s="13">
        <v>15435320.552999999</v>
      </c>
      <c r="E45" s="13"/>
      <c r="F45" s="13">
        <v>35495589.383999996</v>
      </c>
    </row>
    <row r="46" spans="1:6" x14ac:dyDescent="0.2">
      <c r="A46" t="s">
        <v>5</v>
      </c>
      <c r="B46" s="26">
        <v>5929</v>
      </c>
    </row>
    <row r="49" spans="1:6" x14ac:dyDescent="0.2">
      <c r="A49" s="19" t="s">
        <v>33</v>
      </c>
    </row>
    <row r="50" spans="1:6" x14ac:dyDescent="0.2">
      <c r="A50" s="24" t="s">
        <v>36</v>
      </c>
    </row>
    <row r="51" spans="1:6" x14ac:dyDescent="0.2">
      <c r="A51" s="24" t="s">
        <v>35</v>
      </c>
    </row>
    <row r="52" spans="1:6" x14ac:dyDescent="0.2">
      <c r="A52" s="80" t="s">
        <v>40</v>
      </c>
      <c r="B52" s="81"/>
      <c r="C52" s="81"/>
      <c r="D52" s="81"/>
      <c r="E52" s="81"/>
      <c r="F52" s="81"/>
    </row>
    <row r="53" spans="1:6" x14ac:dyDescent="0.2">
      <c r="A53" s="24" t="s">
        <v>34</v>
      </c>
    </row>
  </sheetData>
  <mergeCells count="3">
    <mergeCell ref="A1:F1"/>
    <mergeCell ref="A2:F2"/>
    <mergeCell ref="A52:F52"/>
  </mergeCells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4" zoomScaleNormal="100" workbookViewId="0">
      <selection activeCell="B37" sqref="B37"/>
    </sheetView>
  </sheetViews>
  <sheetFormatPr defaultRowHeight="12.75" x14ac:dyDescent="0.2"/>
  <cols>
    <col min="1" max="1" width="24" customWidth="1"/>
    <col min="2" max="2" width="16.85546875" bestFit="1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83"/>
      <c r="B1" s="83"/>
      <c r="C1" s="83"/>
      <c r="D1" s="83"/>
      <c r="E1" s="83"/>
      <c r="F1" s="83"/>
    </row>
    <row r="2" spans="1:6" ht="18" x14ac:dyDescent="0.25">
      <c r="A2" s="77" t="s">
        <v>22</v>
      </c>
      <c r="B2" s="78"/>
      <c r="C2" s="78"/>
      <c r="D2" s="78"/>
      <c r="E2" s="78"/>
      <c r="F2" s="78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0"/>
      <c r="C4" s="10"/>
      <c r="D4" s="16" t="s">
        <v>46</v>
      </c>
      <c r="E4" s="10"/>
      <c r="F4" s="16" t="s">
        <v>28</v>
      </c>
    </row>
    <row r="5" spans="1:6" x14ac:dyDescent="0.2">
      <c r="A5" s="9"/>
      <c r="B5" s="20" t="s">
        <v>49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34216658.659999996</v>
      </c>
      <c r="C8" s="13"/>
      <c r="D8" s="13">
        <v>115134610.47000001</v>
      </c>
      <c r="E8" s="13"/>
      <c r="F8" s="13">
        <v>252683132.46000004</v>
      </c>
    </row>
    <row r="9" spans="1:6" x14ac:dyDescent="0.2">
      <c r="A9" t="s">
        <v>2</v>
      </c>
      <c r="B9" s="13">
        <v>30971712.030000001</v>
      </c>
      <c r="C9" s="13"/>
      <c r="D9" s="13">
        <v>104193781.10999997</v>
      </c>
      <c r="E9" s="13"/>
      <c r="F9" s="13">
        <v>228161003.90999997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3244946.63</v>
      </c>
      <c r="C12" s="13"/>
      <c r="D12" s="13">
        <v>10940829.359999998</v>
      </c>
      <c r="E12" s="13"/>
      <c r="F12" s="13">
        <v>24714870.579999998</v>
      </c>
    </row>
    <row r="13" spans="1:6" x14ac:dyDescent="0.2">
      <c r="A13" t="s">
        <v>25</v>
      </c>
      <c r="B13" s="13">
        <v>1784720.6464999975</v>
      </c>
      <c r="C13" s="13"/>
      <c r="D13" s="13">
        <v>6017456.1479999991</v>
      </c>
      <c r="E13" s="13"/>
      <c r="F13" s="13">
        <v>13593178.819</v>
      </c>
    </row>
    <row r="14" spans="1:6" x14ac:dyDescent="0.2">
      <c r="A14" t="s">
        <v>32</v>
      </c>
      <c r="B14" s="13">
        <v>1460225.983499998</v>
      </c>
      <c r="C14" s="13"/>
      <c r="D14" s="13">
        <v>4923373.2119999994</v>
      </c>
      <c r="E14" s="13"/>
      <c r="F14" s="13">
        <v>11121691.761</v>
      </c>
    </row>
    <row r="15" spans="1:6" x14ac:dyDescent="0.2">
      <c r="A15" t="s">
        <v>5</v>
      </c>
      <c r="B15" s="26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57610092.700000003</v>
      </c>
      <c r="C19" s="13"/>
      <c r="D19" s="13">
        <v>207025487.12</v>
      </c>
      <c r="E19" s="13"/>
      <c r="F19" s="13">
        <v>459510823.86000001</v>
      </c>
    </row>
    <row r="20" spans="1:6" x14ac:dyDescent="0.2">
      <c r="A20" t="s">
        <v>2</v>
      </c>
      <c r="B20" s="13">
        <v>52599209.210000001</v>
      </c>
      <c r="C20" s="13"/>
      <c r="D20" s="13">
        <v>188903678.60999998</v>
      </c>
      <c r="E20" s="13"/>
      <c r="F20" s="13">
        <v>419034983.26999998</v>
      </c>
    </row>
    <row r="21" spans="1:6" x14ac:dyDescent="0.2">
      <c r="A21" t="s">
        <v>0</v>
      </c>
      <c r="B21" s="13">
        <v>45555.199999999997</v>
      </c>
      <c r="C21" s="13"/>
      <c r="D21" s="13">
        <v>261081</v>
      </c>
      <c r="E21" s="13"/>
      <c r="F21" s="13">
        <v>399254</v>
      </c>
    </row>
    <row r="22" spans="1:6" x14ac:dyDescent="0.2">
      <c r="A22" t="s">
        <v>31</v>
      </c>
      <c r="B22" s="13">
        <v>4965328.29</v>
      </c>
      <c r="C22" s="13"/>
      <c r="D22" s="13">
        <v>17860727.510000002</v>
      </c>
      <c r="E22" s="13"/>
      <c r="F22" s="13">
        <v>40076586.590000004</v>
      </c>
    </row>
    <row r="23" spans="1:6" x14ac:dyDescent="0.2">
      <c r="A23" t="s">
        <v>25</v>
      </c>
      <c r="B23" s="13">
        <v>2730930.5595000014</v>
      </c>
      <c r="C23" s="13"/>
      <c r="D23" s="13">
        <v>9823400.1305000018</v>
      </c>
      <c r="E23" s="13"/>
      <c r="F23" s="13">
        <v>22042122.624500003</v>
      </c>
    </row>
    <row r="24" spans="1:6" x14ac:dyDescent="0.2">
      <c r="A24" t="s">
        <v>32</v>
      </c>
      <c r="B24" s="13">
        <v>2234397.730500001</v>
      </c>
      <c r="C24" s="13"/>
      <c r="D24" s="13">
        <v>8037327.3795000007</v>
      </c>
      <c r="E24" s="13"/>
      <c r="F24" s="13">
        <v>18034463.965500001</v>
      </c>
    </row>
    <row r="25" spans="1:6" x14ac:dyDescent="0.2">
      <c r="A25" t="s">
        <v>5</v>
      </c>
      <c r="B25" s="26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51459539.289999999</v>
      </c>
      <c r="C29" s="13"/>
      <c r="D29" s="13">
        <v>193377198.66</v>
      </c>
      <c r="E29" s="13"/>
      <c r="F29" s="13">
        <v>283849823.73000002</v>
      </c>
    </row>
    <row r="30" spans="1:6" x14ac:dyDescent="0.2">
      <c r="A30" t="s">
        <v>2</v>
      </c>
      <c r="B30" s="13">
        <v>46555463.130000003</v>
      </c>
      <c r="C30" s="13"/>
      <c r="D30" s="13">
        <v>174763137.10999998</v>
      </c>
      <c r="E30" s="13"/>
      <c r="F30" s="13">
        <v>256646697.30000001</v>
      </c>
    </row>
    <row r="31" spans="1:6" x14ac:dyDescent="0.2">
      <c r="A31" t="s">
        <v>0</v>
      </c>
      <c r="B31" s="13">
        <v>19</v>
      </c>
      <c r="C31" s="13"/>
      <c r="D31" s="13">
        <v>574</v>
      </c>
      <c r="E31" s="13"/>
      <c r="F31" s="13">
        <v>1164</v>
      </c>
    </row>
    <row r="32" spans="1:6" x14ac:dyDescent="0.2">
      <c r="A32" t="s">
        <v>31</v>
      </c>
      <c r="B32" s="13">
        <v>4904057.16</v>
      </c>
      <c r="C32" s="13"/>
      <c r="D32" s="13">
        <v>18613487.549999997</v>
      </c>
      <c r="E32" s="13"/>
      <c r="F32" s="13">
        <v>27201962.429999996</v>
      </c>
    </row>
    <row r="33" spans="1:6" x14ac:dyDescent="0.2">
      <c r="A33" t="s">
        <v>25</v>
      </c>
      <c r="B33" s="13">
        <v>2697231.4379999982</v>
      </c>
      <c r="C33" s="13"/>
      <c r="D33" s="13">
        <v>10237418.1525</v>
      </c>
      <c r="E33" s="13"/>
      <c r="F33" s="13">
        <v>14961079.336499998</v>
      </c>
    </row>
    <row r="34" spans="1:6" x14ac:dyDescent="0.2">
      <c r="A34" t="s">
        <v>32</v>
      </c>
      <c r="B34" s="13">
        <v>2206825.7219999987</v>
      </c>
      <c r="C34" s="13"/>
      <c r="D34" s="13">
        <v>8376069.397499999</v>
      </c>
      <c r="E34" s="13"/>
      <c r="F34" s="13">
        <v>12240883.093499998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81" t="s">
        <v>51</v>
      </c>
      <c r="B38" s="81"/>
      <c r="C38" s="81"/>
      <c r="D38" s="81"/>
      <c r="E38" s="81"/>
      <c r="F38" s="81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968483.37</v>
      </c>
      <c r="C41" s="13"/>
      <c r="D41" s="13">
        <v>968483.37</v>
      </c>
      <c r="E41" s="13"/>
      <c r="F41" s="13">
        <v>968483.37</v>
      </c>
    </row>
    <row r="42" spans="1:6" x14ac:dyDescent="0.2">
      <c r="A42" t="s">
        <v>2</v>
      </c>
      <c r="B42" s="13">
        <v>864855.19</v>
      </c>
      <c r="C42" s="13"/>
      <c r="D42" s="13">
        <v>864855.19</v>
      </c>
      <c r="E42" s="13"/>
      <c r="F42" s="13">
        <v>864855.19</v>
      </c>
    </row>
    <row r="43" spans="1:6" x14ac:dyDescent="0.2">
      <c r="A43" t="s">
        <v>0</v>
      </c>
      <c r="B43" s="13">
        <v>5859.78</v>
      </c>
      <c r="C43" s="13"/>
      <c r="D43" s="13">
        <v>5859.78</v>
      </c>
      <c r="E43" s="13"/>
      <c r="F43" s="13">
        <v>5859.78</v>
      </c>
    </row>
    <row r="44" spans="1:6" x14ac:dyDescent="0.2">
      <c r="A44" t="s">
        <v>31</v>
      </c>
      <c r="B44" s="13">
        <v>97768.400000000052</v>
      </c>
      <c r="C44" s="13"/>
      <c r="D44" s="13">
        <v>97768.400000000067</v>
      </c>
      <c r="E44" s="13"/>
      <c r="F44" s="13">
        <v>97768.400000000067</v>
      </c>
    </row>
    <row r="45" spans="1:6" x14ac:dyDescent="0.2">
      <c r="A45" t="s">
        <v>25</v>
      </c>
      <c r="B45" s="13">
        <v>53772.62</v>
      </c>
      <c r="C45" s="13"/>
      <c r="D45" s="13">
        <v>53772.62</v>
      </c>
      <c r="E45" s="13"/>
      <c r="F45" s="13">
        <v>53772.62</v>
      </c>
    </row>
    <row r="46" spans="1:6" x14ac:dyDescent="0.2">
      <c r="A46" t="s">
        <v>32</v>
      </c>
      <c r="B46" s="13">
        <v>43995.78</v>
      </c>
      <c r="C46" s="13"/>
      <c r="D46" s="13">
        <v>43995.78</v>
      </c>
      <c r="E46" s="13"/>
      <c r="F46" s="13">
        <v>43995.78</v>
      </c>
    </row>
    <row r="47" spans="1:6" x14ac:dyDescent="0.2">
      <c r="A47" t="s">
        <v>5</v>
      </c>
      <c r="B47" s="26">
        <v>2000</v>
      </c>
      <c r="C47" s="13"/>
      <c r="D47" s="13"/>
      <c r="E47" s="13"/>
      <c r="F47" s="13"/>
    </row>
    <row r="48" spans="1:6" x14ac:dyDescent="0.2">
      <c r="B48" s="26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144254774.01999998</v>
      </c>
      <c r="C51" s="13"/>
      <c r="D51" s="13">
        <v>516505779.61999995</v>
      </c>
      <c r="E51" s="13"/>
      <c r="F51" s="13">
        <v>997012263.41999996</v>
      </c>
    </row>
    <row r="52" spans="1:6" x14ac:dyDescent="0.2">
      <c r="A52" t="s">
        <v>2</v>
      </c>
      <c r="B52" s="13">
        <v>130991239.56</v>
      </c>
      <c r="C52" s="13"/>
      <c r="D52" s="13">
        <v>468725452.0200001</v>
      </c>
      <c r="E52" s="13"/>
      <c r="F52" s="13">
        <v>904707539.67000008</v>
      </c>
    </row>
    <row r="53" spans="1:6" x14ac:dyDescent="0.2">
      <c r="A53" t="s">
        <v>0</v>
      </c>
      <c r="B53" s="13">
        <v>51433.98</v>
      </c>
      <c r="C53" s="13"/>
      <c r="D53" s="13">
        <v>267514.78000000003</v>
      </c>
      <c r="E53" s="13"/>
      <c r="F53" s="13">
        <v>412687.78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13212100.479999993</v>
      </c>
      <c r="C55" s="13"/>
      <c r="D55" s="13">
        <v>47512812.819999993</v>
      </c>
      <c r="E55" s="13"/>
      <c r="F55" s="13">
        <v>92091187.999999985</v>
      </c>
    </row>
    <row r="56" spans="1:6" x14ac:dyDescent="0.2">
      <c r="A56" t="s">
        <v>25</v>
      </c>
      <c r="B56" s="13">
        <v>7266655.2639999967</v>
      </c>
      <c r="C56" s="13"/>
      <c r="D56" s="13">
        <v>26132047.050999999</v>
      </c>
      <c r="E56" s="13"/>
      <c r="F56" s="13">
        <v>50650153.399999999</v>
      </c>
    </row>
    <row r="57" spans="1:6" x14ac:dyDescent="0.2">
      <c r="A57" t="s">
        <v>32</v>
      </c>
      <c r="B57" s="13">
        <v>5945445.2159999972</v>
      </c>
      <c r="C57" s="13"/>
      <c r="D57" s="13">
        <v>21380765.768999998</v>
      </c>
      <c r="E57" s="13"/>
      <c r="F57" s="13">
        <v>41441034.599999994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81" t="s">
        <v>51</v>
      </c>
      <c r="B61" s="81"/>
      <c r="C61" s="81"/>
      <c r="D61" s="81"/>
      <c r="E61" s="81"/>
      <c r="F61" s="81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61:F61"/>
    <mergeCell ref="A38:F38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>
    <oddFooter>&amp;L&amp;"Arial,Bold"&amp;9&amp;D&amp;R&amp;"Arial,Bold"&amp;9Page &amp;P of &amp;N</oddFooter>
  </headerFooter>
  <rowBreaks count="1" manualBreakCount="1">
    <brk id="39" max="5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A4" sqref="A4"/>
    </sheetView>
  </sheetViews>
  <sheetFormatPr defaultRowHeight="12.75" x14ac:dyDescent="0.2"/>
  <cols>
    <col min="1" max="1" width="24" customWidth="1"/>
    <col min="2" max="2" width="16.85546875" bestFit="1" customWidth="1"/>
    <col min="3" max="3" width="4" customWidth="1"/>
    <col min="4" max="4" width="17.28515625" bestFit="1" customWidth="1"/>
    <col min="5" max="5" width="3.7109375" customWidth="1"/>
    <col min="6" max="6" width="16.140625" customWidth="1"/>
    <col min="7" max="7" width="3.7109375" customWidth="1"/>
    <col min="8" max="8" width="17.28515625" bestFit="1" customWidth="1"/>
  </cols>
  <sheetData>
    <row r="1" spans="1:8" ht="63" customHeight="1" x14ac:dyDescent="0.2">
      <c r="A1" s="83"/>
      <c r="B1" s="83"/>
      <c r="C1" s="83"/>
      <c r="D1" s="83"/>
      <c r="E1" s="83"/>
      <c r="F1" s="83"/>
      <c r="G1" s="83"/>
      <c r="H1" s="83"/>
    </row>
    <row r="2" spans="1:8" ht="18" x14ac:dyDescent="0.25">
      <c r="A2" s="77" t="s">
        <v>22</v>
      </c>
      <c r="B2" s="78"/>
      <c r="C2" s="78"/>
      <c r="D2" s="78"/>
      <c r="E2" s="78"/>
      <c r="F2" s="78"/>
      <c r="G2" s="78"/>
      <c r="H2" s="78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0"/>
      <c r="C4" s="10"/>
      <c r="D4" s="16" t="s">
        <v>46</v>
      </c>
      <c r="E4" s="10"/>
      <c r="F4" s="16" t="s">
        <v>53</v>
      </c>
      <c r="G4" s="10"/>
      <c r="H4" s="16" t="s">
        <v>28</v>
      </c>
    </row>
    <row r="5" spans="1:8" x14ac:dyDescent="0.2">
      <c r="A5" s="9"/>
      <c r="B5" s="20" t="s">
        <v>52</v>
      </c>
      <c r="C5" s="9"/>
      <c r="D5" s="11" t="s">
        <v>11</v>
      </c>
      <c r="F5" s="11" t="s">
        <v>11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37051821.189999998</v>
      </c>
      <c r="C8" s="13"/>
      <c r="D8" s="13">
        <v>126425598.07000002</v>
      </c>
      <c r="E8" s="13"/>
      <c r="F8" s="13">
        <v>25760833.59</v>
      </c>
      <c r="G8" s="13"/>
      <c r="H8" s="13">
        <v>289734953.65000004</v>
      </c>
    </row>
    <row r="9" spans="1:8" x14ac:dyDescent="0.2">
      <c r="A9" t="s">
        <v>2</v>
      </c>
      <c r="B9" s="13">
        <v>33507843.530000001</v>
      </c>
      <c r="C9" s="13"/>
      <c r="D9" s="13">
        <v>114476308.82999997</v>
      </c>
      <c r="E9" s="13"/>
      <c r="F9" s="13">
        <v>23225315.809999999</v>
      </c>
      <c r="G9" s="13"/>
      <c r="H9" s="13">
        <v>261668847.44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3543977.66</v>
      </c>
      <c r="C12" s="13"/>
      <c r="D12" s="13">
        <v>11949289.239999998</v>
      </c>
      <c r="E12" s="13"/>
      <c r="F12" s="13">
        <v>2535517.7799999998</v>
      </c>
      <c r="G12" s="13"/>
      <c r="H12" s="13">
        <v>28258848.240000002</v>
      </c>
    </row>
    <row r="13" spans="1:8" x14ac:dyDescent="0.2">
      <c r="A13" t="s">
        <v>25</v>
      </c>
      <c r="B13" s="13">
        <v>1949187.7129999981</v>
      </c>
      <c r="C13" s="13"/>
      <c r="D13" s="13">
        <v>6572109.0819999995</v>
      </c>
      <c r="E13" s="13"/>
      <c r="F13" s="13">
        <v>1394534.7790000001</v>
      </c>
      <c r="G13" s="13"/>
      <c r="H13" s="13">
        <v>15542366.532000002</v>
      </c>
    </row>
    <row r="14" spans="1:8" x14ac:dyDescent="0.2">
      <c r="A14" t="s">
        <v>32</v>
      </c>
      <c r="B14" s="13">
        <v>1594789.9469999985</v>
      </c>
      <c r="C14" s="13"/>
      <c r="D14" s="13">
        <v>5377180.1579999998</v>
      </c>
      <c r="E14" s="13"/>
      <c r="F14" s="13">
        <v>1140983.0009999999</v>
      </c>
      <c r="G14" s="13"/>
      <c r="H14" s="13">
        <v>12716481.708000001</v>
      </c>
    </row>
    <row r="15" spans="1:8" x14ac:dyDescent="0.2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64020031.280000001</v>
      </c>
      <c r="C19" s="13"/>
      <c r="D19" s="13">
        <v>225769006.06999999</v>
      </c>
      <c r="E19" s="13"/>
      <c r="F19" s="13">
        <v>45276512.329999998</v>
      </c>
      <c r="G19" s="13"/>
      <c r="H19" s="13">
        <v>523530855.13999993</v>
      </c>
    </row>
    <row r="20" spans="1:8" x14ac:dyDescent="0.2">
      <c r="A20" t="s">
        <v>2</v>
      </c>
      <c r="B20" s="13">
        <v>58281551.950000003</v>
      </c>
      <c r="C20" s="13"/>
      <c r="D20" s="13">
        <v>205912967.69</v>
      </c>
      <c r="E20" s="13"/>
      <c r="F20" s="13">
        <v>41272262.869999997</v>
      </c>
      <c r="G20" s="13"/>
      <c r="H20" s="13">
        <v>477316535.22000003</v>
      </c>
    </row>
    <row r="21" spans="1:8" x14ac:dyDescent="0.2">
      <c r="A21" t="s">
        <v>0</v>
      </c>
      <c r="B21" s="13">
        <v>35845</v>
      </c>
      <c r="C21" s="13"/>
      <c r="D21" s="13">
        <v>272728.75</v>
      </c>
      <c r="E21" s="13"/>
      <c r="F21" s="13">
        <v>24197.25</v>
      </c>
      <c r="G21" s="13"/>
      <c r="H21" s="13">
        <v>435099</v>
      </c>
    </row>
    <row r="22" spans="1:8" x14ac:dyDescent="0.2">
      <c r="A22" t="s">
        <v>31</v>
      </c>
      <c r="B22" s="13">
        <v>5702634.3299999982</v>
      </c>
      <c r="C22" s="13"/>
      <c r="D22" s="13">
        <v>19583309.630000003</v>
      </c>
      <c r="E22" s="13"/>
      <c r="F22" s="13">
        <v>3980052.21</v>
      </c>
      <c r="G22" s="13"/>
      <c r="H22" s="13">
        <v>45779220.920000009</v>
      </c>
    </row>
    <row r="23" spans="1:8" x14ac:dyDescent="0.2">
      <c r="A23" t="s">
        <v>25</v>
      </c>
      <c r="B23" s="13">
        <v>3136448.8814999992</v>
      </c>
      <c r="C23" s="13"/>
      <c r="D23" s="13">
        <v>10770820.296500003</v>
      </c>
      <c r="E23" s="13"/>
      <c r="F23" s="13">
        <v>2189028.7154999999</v>
      </c>
      <c r="G23" s="13"/>
      <c r="H23" s="13">
        <v>25178571.506000008</v>
      </c>
    </row>
    <row r="24" spans="1:8" x14ac:dyDescent="0.2">
      <c r="A24" t="s">
        <v>32</v>
      </c>
      <c r="B24" s="13">
        <v>2566185.4484999995</v>
      </c>
      <c r="C24" s="13"/>
      <c r="D24" s="13">
        <v>8812489.3335000016</v>
      </c>
      <c r="E24" s="13"/>
      <c r="F24" s="13">
        <v>1791023.4945</v>
      </c>
      <c r="G24" s="13"/>
      <c r="H24" s="13">
        <v>20600649.414000005</v>
      </c>
    </row>
    <row r="25" spans="1:8" x14ac:dyDescent="0.2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56306173.630000003</v>
      </c>
      <c r="C29" s="13"/>
      <c r="D29" s="13">
        <v>209755208.12</v>
      </c>
      <c r="E29" s="13"/>
      <c r="F29" s="13">
        <v>39928164.170000002</v>
      </c>
      <c r="G29" s="13"/>
      <c r="H29" s="13">
        <v>340155997.36000001</v>
      </c>
    </row>
    <row r="30" spans="1:8" x14ac:dyDescent="0.2">
      <c r="A30" t="s">
        <v>2</v>
      </c>
      <c r="B30" s="13">
        <v>50887314.920000002</v>
      </c>
      <c r="C30" s="13"/>
      <c r="D30" s="13">
        <v>189581489.59999999</v>
      </c>
      <c r="E30" s="13"/>
      <c r="F30" s="13">
        <v>36068962.43</v>
      </c>
      <c r="G30" s="13"/>
      <c r="H30" s="13">
        <v>307534012.22000003</v>
      </c>
    </row>
    <row r="31" spans="1:8" x14ac:dyDescent="0.2">
      <c r="A31" t="s">
        <v>0</v>
      </c>
      <c r="B31" s="13">
        <v>1224</v>
      </c>
      <c r="C31" s="13"/>
      <c r="D31" s="13">
        <v>614</v>
      </c>
      <c r="E31" s="13"/>
      <c r="F31" s="13">
        <v>1184</v>
      </c>
      <c r="G31" s="13"/>
      <c r="H31" s="13">
        <v>2388</v>
      </c>
    </row>
    <row r="32" spans="1:8" x14ac:dyDescent="0.2">
      <c r="A32" t="s">
        <v>31</v>
      </c>
      <c r="B32" s="13">
        <v>5417634.7100000009</v>
      </c>
      <c r="C32" s="13"/>
      <c r="D32" s="13">
        <v>20173104.519999996</v>
      </c>
      <c r="E32" s="13"/>
      <c r="F32" s="13">
        <v>3858017.74</v>
      </c>
      <c r="G32" s="13"/>
      <c r="H32" s="13">
        <v>32619597.139999997</v>
      </c>
    </row>
    <row r="33" spans="1:8" x14ac:dyDescent="0.2">
      <c r="A33" t="s">
        <v>25</v>
      </c>
      <c r="B33" s="13">
        <v>2979699.0905000009</v>
      </c>
      <c r="C33" s="13"/>
      <c r="D33" s="13">
        <v>11095207.485999998</v>
      </c>
      <c r="E33" s="13"/>
      <c r="F33" s="13">
        <v>2121909.7570000002</v>
      </c>
      <c r="G33" s="13"/>
      <c r="H33" s="13">
        <v>17940778.427000001</v>
      </c>
    </row>
    <row r="34" spans="1:8" x14ac:dyDescent="0.2">
      <c r="A34" t="s">
        <v>32</v>
      </c>
      <c r="B34" s="13">
        <v>2437935.6195000005</v>
      </c>
      <c r="C34" s="13"/>
      <c r="D34" s="13">
        <v>9077897.0339999981</v>
      </c>
      <c r="E34" s="13"/>
      <c r="F34" s="13">
        <v>1736107.9830000002</v>
      </c>
      <c r="G34" s="13"/>
      <c r="H34" s="13">
        <v>14678818.713</v>
      </c>
    </row>
    <row r="35" spans="1:8" x14ac:dyDescent="0.2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ht="75.95" customHeight="1" x14ac:dyDescent="0.2">
      <c r="A38" s="81" t="s">
        <v>51</v>
      </c>
      <c r="B38" s="81"/>
      <c r="C38" s="81"/>
      <c r="D38" s="81"/>
      <c r="E38" s="81"/>
      <c r="F38" s="81"/>
      <c r="G38" s="81"/>
      <c r="H38" s="81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A40" s="25" t="s">
        <v>50</v>
      </c>
      <c r="B40" s="13"/>
      <c r="C40" s="13"/>
      <c r="D40" s="13"/>
      <c r="E40" s="13"/>
      <c r="F40" s="13"/>
      <c r="G40" s="13"/>
      <c r="H40" s="13"/>
    </row>
    <row r="41" spans="1:8" x14ac:dyDescent="0.2">
      <c r="A41" t="s">
        <v>1</v>
      </c>
      <c r="B41" s="13">
        <v>49317346.329999998</v>
      </c>
      <c r="C41" s="13"/>
      <c r="D41" s="13">
        <v>11449363.560000001</v>
      </c>
      <c r="E41" s="13"/>
      <c r="F41" s="13">
        <v>38836466.140000001</v>
      </c>
      <c r="G41" s="13"/>
      <c r="H41" s="13">
        <v>50285829.700000003</v>
      </c>
    </row>
    <row r="42" spans="1:8" x14ac:dyDescent="0.2">
      <c r="A42" t="s">
        <v>2</v>
      </c>
      <c r="B42" s="13">
        <v>44622264.789999999</v>
      </c>
      <c r="C42" s="13"/>
      <c r="D42" s="13">
        <v>10381988.189999999</v>
      </c>
      <c r="E42" s="13"/>
      <c r="F42" s="13">
        <v>35105131.789999999</v>
      </c>
      <c r="G42" s="13"/>
      <c r="H42" s="13">
        <v>45487119.979999997</v>
      </c>
    </row>
    <row r="43" spans="1:8" x14ac:dyDescent="0.2">
      <c r="A43" t="s">
        <v>0</v>
      </c>
      <c r="B43" s="13">
        <v>16619.13</v>
      </c>
      <c r="C43" s="13"/>
      <c r="D43" s="13">
        <v>20216.91</v>
      </c>
      <c r="E43" s="13"/>
      <c r="F43" s="13">
        <v>2262</v>
      </c>
      <c r="G43" s="13"/>
      <c r="H43" s="13">
        <v>22478.91</v>
      </c>
    </row>
    <row r="44" spans="1:8" x14ac:dyDescent="0.2">
      <c r="A44" t="s">
        <v>31</v>
      </c>
      <c r="B44" s="13">
        <v>4678462.41</v>
      </c>
      <c r="C44" s="13"/>
      <c r="D44" s="13">
        <v>1047158.46</v>
      </c>
      <c r="E44" s="13"/>
      <c r="F44" s="13">
        <v>3729072.35</v>
      </c>
      <c r="G44" s="13"/>
      <c r="H44" s="13">
        <v>4776230.8099999996</v>
      </c>
    </row>
    <row r="45" spans="1:8" x14ac:dyDescent="0.2">
      <c r="A45" t="s">
        <v>25</v>
      </c>
      <c r="B45" s="13">
        <v>2573154.3254999998</v>
      </c>
      <c r="C45" s="13"/>
      <c r="D45" s="13">
        <v>575937.15300000005</v>
      </c>
      <c r="E45" s="13"/>
      <c r="F45" s="13">
        <v>2050989.7925000002</v>
      </c>
      <c r="G45" s="13"/>
      <c r="H45" s="13">
        <v>2626926.9454999999</v>
      </c>
    </row>
    <row r="46" spans="1:8" x14ac:dyDescent="0.2">
      <c r="A46" t="s">
        <v>32</v>
      </c>
      <c r="B46" s="13">
        <v>2105308.0844999999</v>
      </c>
      <c r="C46" s="13"/>
      <c r="D46" s="13">
        <v>471221.30699999997</v>
      </c>
      <c r="E46" s="13"/>
      <c r="F46" s="13">
        <v>1678082.5575000001</v>
      </c>
      <c r="G46" s="13"/>
      <c r="H46" s="13">
        <v>2149303.8644999997</v>
      </c>
    </row>
    <row r="47" spans="1:8" x14ac:dyDescent="0.2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">
      <c r="B48" s="26"/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">
      <c r="A51" t="s">
        <v>1</v>
      </c>
      <c r="B51" s="13">
        <v>206695372.43000001</v>
      </c>
      <c r="C51" s="13"/>
      <c r="D51" s="13">
        <v>573399175.81999993</v>
      </c>
      <c r="E51" s="13"/>
      <c r="F51" s="13">
        <v>149801976.23000002</v>
      </c>
      <c r="G51" s="13"/>
      <c r="H51" s="13">
        <v>1203707635.8499999</v>
      </c>
    </row>
    <row r="52" spans="1:8" x14ac:dyDescent="0.2">
      <c r="A52" t="s">
        <v>2</v>
      </c>
      <c r="B52" s="13">
        <v>187298975.19000003</v>
      </c>
      <c r="C52" s="13"/>
      <c r="D52" s="13">
        <v>520352754.31000012</v>
      </c>
      <c r="E52" s="13"/>
      <c r="F52" s="13">
        <v>135671672.90000001</v>
      </c>
      <c r="G52" s="13"/>
      <c r="H52" s="13">
        <v>1092006514.8600001</v>
      </c>
    </row>
    <row r="53" spans="1:8" x14ac:dyDescent="0.2">
      <c r="A53" t="s">
        <v>0</v>
      </c>
      <c r="B53" s="13">
        <v>53688.13</v>
      </c>
      <c r="C53" s="13"/>
      <c r="D53" s="13">
        <v>293559.65999999997</v>
      </c>
      <c r="E53" s="13"/>
      <c r="F53" s="13">
        <v>27643.25</v>
      </c>
      <c r="G53" s="13"/>
      <c r="H53" s="13">
        <v>466375.91</v>
      </c>
    </row>
    <row r="54" spans="1:8" x14ac:dyDescent="0.2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">
      <c r="A55" t="s">
        <v>31</v>
      </c>
      <c r="B55" s="13">
        <v>19342709.109999996</v>
      </c>
      <c r="C55" s="13"/>
      <c r="D55" s="13">
        <v>52752861.849999994</v>
      </c>
      <c r="E55" s="13"/>
      <c r="F55" s="13">
        <v>14102660.080000002</v>
      </c>
      <c r="G55" s="13"/>
      <c r="H55" s="13">
        <v>111433897.10999998</v>
      </c>
    </row>
    <row r="56" spans="1:8" x14ac:dyDescent="0.2">
      <c r="A56" t="s">
        <v>25</v>
      </c>
      <c r="B56" s="13">
        <v>10638490.010499999</v>
      </c>
      <c r="C56" s="13"/>
      <c r="D56" s="13">
        <v>29014074.017499998</v>
      </c>
      <c r="E56" s="13"/>
      <c r="F56" s="13">
        <v>7756463.0440000016</v>
      </c>
      <c r="G56" s="13"/>
      <c r="H56" s="13">
        <v>61288643.410499997</v>
      </c>
    </row>
    <row r="57" spans="1:8" x14ac:dyDescent="0.2">
      <c r="A57" t="s">
        <v>32</v>
      </c>
      <c r="B57" s="13">
        <v>8704219.0994999986</v>
      </c>
      <c r="C57" s="13"/>
      <c r="D57" s="13">
        <v>23738787.8325</v>
      </c>
      <c r="E57" s="13"/>
      <c r="F57" s="13">
        <v>6346197.0360000012</v>
      </c>
      <c r="G57" s="13"/>
      <c r="H57" s="13">
        <v>50145253.699499995</v>
      </c>
    </row>
    <row r="58" spans="1:8" x14ac:dyDescent="0.2">
      <c r="A58" t="s">
        <v>5</v>
      </c>
      <c r="B58" s="26">
        <v>7929</v>
      </c>
    </row>
    <row r="61" spans="1:8" ht="93" customHeight="1" x14ac:dyDescent="0.2">
      <c r="A61" s="81" t="s">
        <v>54</v>
      </c>
      <c r="B61" s="81"/>
      <c r="C61" s="81"/>
      <c r="D61" s="81"/>
      <c r="E61" s="81"/>
      <c r="F61" s="81"/>
      <c r="G61" s="81"/>
      <c r="H61" s="81"/>
    </row>
    <row r="62" spans="1:8" x14ac:dyDescent="0.2">
      <c r="A62" s="29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</sheetData>
  <mergeCells count="4">
    <mergeCell ref="A1:H1"/>
    <mergeCell ref="A2:H2"/>
    <mergeCell ref="A38:H38"/>
    <mergeCell ref="A61:H61"/>
  </mergeCells>
  <phoneticPr fontId="4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A3" sqref="A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83"/>
      <c r="B1" s="83"/>
      <c r="C1" s="83"/>
      <c r="D1" s="83"/>
      <c r="E1" s="83"/>
      <c r="F1" s="83"/>
    </row>
    <row r="2" spans="1:6" ht="18" x14ac:dyDescent="0.25">
      <c r="A2" s="77" t="s">
        <v>22</v>
      </c>
      <c r="B2" s="78"/>
      <c r="C2" s="78"/>
      <c r="D2" s="78"/>
      <c r="E2" s="78"/>
      <c r="F2" s="78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">
      <c r="A5" s="9"/>
      <c r="B5" s="11" t="s">
        <v>56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33950587.850000001</v>
      </c>
      <c r="C8" s="13"/>
      <c r="D8" s="13">
        <v>59711421.439999998</v>
      </c>
      <c r="E8" s="13"/>
      <c r="F8" s="13">
        <v>323685541.50000006</v>
      </c>
    </row>
    <row r="9" spans="1:6" x14ac:dyDescent="0.2">
      <c r="A9" t="s">
        <v>2</v>
      </c>
      <c r="B9" s="13">
        <v>30658480.18</v>
      </c>
      <c r="C9" s="13"/>
      <c r="D9" s="13">
        <v>53883795.990000002</v>
      </c>
      <c r="E9" s="13"/>
      <c r="F9" s="13">
        <v>292327327.62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3292107.67</v>
      </c>
      <c r="C12" s="13"/>
      <c r="D12" s="13">
        <v>5827625.4500000002</v>
      </c>
      <c r="E12" s="13"/>
      <c r="F12" s="13">
        <v>31550955.91</v>
      </c>
    </row>
    <row r="13" spans="1:6" x14ac:dyDescent="0.2">
      <c r="A13" t="s">
        <v>25</v>
      </c>
      <c r="B13" s="13">
        <v>1810659.2185000011</v>
      </c>
      <c r="C13" s="13"/>
      <c r="D13" s="13">
        <v>3205193.9975000005</v>
      </c>
      <c r="E13" s="13"/>
      <c r="F13" s="13">
        <v>17353025.750500001</v>
      </c>
    </row>
    <row r="14" spans="1:6" x14ac:dyDescent="0.2">
      <c r="A14" t="s">
        <v>32</v>
      </c>
      <c r="B14" s="13">
        <v>1481448.4515000009</v>
      </c>
      <c r="C14" s="13"/>
      <c r="D14" s="13">
        <v>2622431.4525000001</v>
      </c>
      <c r="E14" s="13"/>
      <c r="F14" s="13">
        <v>14197930.159500001</v>
      </c>
    </row>
    <row r="15" spans="1:6" x14ac:dyDescent="0.2">
      <c r="A15" t="s">
        <v>5</v>
      </c>
      <c r="B15" s="13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57562110.299999997</v>
      </c>
      <c r="C19" s="13"/>
      <c r="D19" s="13">
        <v>102838622.63</v>
      </c>
      <c r="E19" s="13"/>
      <c r="F19" s="13">
        <v>581092965.43999994</v>
      </c>
    </row>
    <row r="20" spans="1:6" x14ac:dyDescent="0.2">
      <c r="A20" t="s">
        <v>2</v>
      </c>
      <c r="B20" s="13">
        <v>52441899.619999997</v>
      </c>
      <c r="C20" s="13"/>
      <c r="D20" s="13">
        <v>93714162.49000001</v>
      </c>
      <c r="E20" s="13"/>
      <c r="F20" s="13">
        <v>529758434.84000003</v>
      </c>
    </row>
    <row r="21" spans="1:6" x14ac:dyDescent="0.2">
      <c r="A21" t="s">
        <v>0</v>
      </c>
      <c r="B21" s="13">
        <v>48484</v>
      </c>
      <c r="C21" s="13"/>
      <c r="D21" s="13">
        <v>72681.25</v>
      </c>
      <c r="E21" s="13"/>
      <c r="F21" s="13">
        <v>483583</v>
      </c>
    </row>
    <row r="22" spans="1:6" x14ac:dyDescent="0.2">
      <c r="A22" t="s">
        <v>31</v>
      </c>
      <c r="B22" s="13">
        <v>5071726.68</v>
      </c>
      <c r="C22" s="13"/>
      <c r="D22" s="13">
        <v>9051778.889999995</v>
      </c>
      <c r="E22" s="13"/>
      <c r="F22" s="13">
        <v>50850947.600000001</v>
      </c>
    </row>
    <row r="23" spans="1:6" x14ac:dyDescent="0.2">
      <c r="A23" t="s">
        <v>25</v>
      </c>
      <c r="B23" s="13">
        <v>2789449.6740000001</v>
      </c>
      <c r="C23" s="13"/>
      <c r="D23" s="13">
        <v>4978478.3894999977</v>
      </c>
      <c r="E23" s="13"/>
      <c r="F23" s="13">
        <v>27968021.180000003</v>
      </c>
    </row>
    <row r="24" spans="1:6" x14ac:dyDescent="0.2">
      <c r="A24" t="s">
        <v>32</v>
      </c>
      <c r="B24" s="13">
        <v>2282277.0060000001</v>
      </c>
      <c r="C24" s="13"/>
      <c r="D24" s="13">
        <v>4073300.5004999978</v>
      </c>
      <c r="E24" s="13"/>
      <c r="F24" s="13">
        <v>22882926.420000002</v>
      </c>
    </row>
    <row r="25" spans="1:6" x14ac:dyDescent="0.2">
      <c r="A25" t="s">
        <v>5</v>
      </c>
      <c r="B25" s="13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58043229.390000001</v>
      </c>
      <c r="C29" s="13"/>
      <c r="D29" s="13">
        <v>97971393.559999987</v>
      </c>
      <c r="E29" s="13"/>
      <c r="F29" s="13">
        <v>398199226.75</v>
      </c>
    </row>
    <row r="30" spans="1:6" x14ac:dyDescent="0.2">
      <c r="A30" t="s">
        <v>2</v>
      </c>
      <c r="B30" s="13">
        <v>52489751.630000003</v>
      </c>
      <c r="C30" s="13"/>
      <c r="D30" s="13">
        <v>88558714.060000002</v>
      </c>
      <c r="E30" s="13"/>
      <c r="F30" s="13">
        <v>360023763.85000002</v>
      </c>
    </row>
    <row r="31" spans="1:6" x14ac:dyDescent="0.2">
      <c r="A31" t="s">
        <v>0</v>
      </c>
      <c r="B31" s="13">
        <v>153662.75</v>
      </c>
      <c r="C31" s="13"/>
      <c r="D31" s="13">
        <v>154846.75</v>
      </c>
      <c r="E31" s="13"/>
      <c r="F31" s="13">
        <v>156050.75</v>
      </c>
    </row>
    <row r="32" spans="1:6" x14ac:dyDescent="0.2">
      <c r="A32" t="s">
        <v>31</v>
      </c>
      <c r="B32" s="13">
        <v>5399815.0099999979</v>
      </c>
      <c r="C32" s="13"/>
      <c r="D32" s="13">
        <v>9257832.7500000019</v>
      </c>
      <c r="E32" s="13"/>
      <c r="F32" s="13">
        <v>38019412.149999999</v>
      </c>
    </row>
    <row r="33" spans="1:6" x14ac:dyDescent="0.2">
      <c r="A33" t="s">
        <v>25</v>
      </c>
      <c r="B33" s="13">
        <v>2969898.255499999</v>
      </c>
      <c r="C33" s="13"/>
      <c r="D33" s="13">
        <v>5091808.0125000011</v>
      </c>
      <c r="E33" s="13"/>
      <c r="F33" s="13">
        <v>20910676.682500001</v>
      </c>
    </row>
    <row r="34" spans="1:6" x14ac:dyDescent="0.2">
      <c r="A34" t="s">
        <v>32</v>
      </c>
      <c r="B34" s="13">
        <v>2429916.7544999993</v>
      </c>
      <c r="C34" s="13"/>
      <c r="D34" s="13">
        <v>4166024.7375000007</v>
      </c>
      <c r="E34" s="13"/>
      <c r="F34" s="13">
        <v>17108735.467500001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81" t="s">
        <v>51</v>
      </c>
      <c r="B38" s="81"/>
      <c r="C38" s="81"/>
      <c r="D38" s="81"/>
      <c r="E38" s="81"/>
      <c r="F38" s="81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50018186.170000002</v>
      </c>
      <c r="C41" s="13"/>
      <c r="D41" s="13">
        <v>88854652.309999987</v>
      </c>
      <c r="E41" s="13"/>
      <c r="F41" s="13">
        <v>100304015.86999999</v>
      </c>
    </row>
    <row r="42" spans="1:6" x14ac:dyDescent="0.2">
      <c r="A42" t="s">
        <v>2</v>
      </c>
      <c r="B42" s="13">
        <v>45401071.920000002</v>
      </c>
      <c r="C42" s="13"/>
      <c r="D42" s="13">
        <v>80506203.709999993</v>
      </c>
      <c r="E42" s="13"/>
      <c r="F42" s="13">
        <v>90888191.899999991</v>
      </c>
    </row>
    <row r="43" spans="1:6" x14ac:dyDescent="0.2">
      <c r="A43" t="s">
        <v>0</v>
      </c>
      <c r="B43" s="13">
        <v>6128</v>
      </c>
      <c r="C43" s="13"/>
      <c r="D43" s="13">
        <v>8390</v>
      </c>
      <c r="E43" s="13"/>
      <c r="F43" s="13">
        <v>28606.91</v>
      </c>
    </row>
    <row r="44" spans="1:6" x14ac:dyDescent="0.2">
      <c r="A44" t="s">
        <v>31</v>
      </c>
      <c r="B44" s="13">
        <v>4610986.25</v>
      </c>
      <c r="C44" s="13"/>
      <c r="D44" s="13">
        <v>8340058.6000000034</v>
      </c>
      <c r="E44" s="13"/>
      <c r="F44" s="13">
        <v>9387217.0600000042</v>
      </c>
    </row>
    <row r="45" spans="1:6" x14ac:dyDescent="0.2">
      <c r="A45" t="s">
        <v>25</v>
      </c>
      <c r="B45" s="13">
        <v>2536042.4375</v>
      </c>
      <c r="C45" s="13"/>
      <c r="D45" s="13">
        <v>4587032.2300000004</v>
      </c>
      <c r="E45" s="13"/>
      <c r="F45" s="13">
        <v>5162969.3830000032</v>
      </c>
    </row>
    <row r="46" spans="1:6" x14ac:dyDescent="0.2">
      <c r="A46" t="s">
        <v>32</v>
      </c>
      <c r="B46" s="13">
        <v>2074943.8125</v>
      </c>
      <c r="C46" s="13"/>
      <c r="D46" s="13">
        <v>3753026.37</v>
      </c>
      <c r="E46" s="13"/>
      <c r="F46" s="13">
        <v>4224247.677000002</v>
      </c>
    </row>
    <row r="47" spans="1:6" x14ac:dyDescent="0.2">
      <c r="A47" t="s">
        <v>5</v>
      </c>
      <c r="B47" s="13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199574113.71000001</v>
      </c>
      <c r="C51" s="13"/>
      <c r="D51" s="13">
        <v>349376089.94000006</v>
      </c>
      <c r="E51" s="13"/>
      <c r="F51" s="13">
        <v>1403281749.5599999</v>
      </c>
    </row>
    <row r="52" spans="1:6" x14ac:dyDescent="0.2">
      <c r="A52" t="s">
        <v>2</v>
      </c>
      <c r="B52" s="13">
        <v>180991203.34999999</v>
      </c>
      <c r="C52" s="13"/>
      <c r="D52" s="13">
        <v>316662876.24999994</v>
      </c>
      <c r="E52" s="13"/>
      <c r="F52" s="13">
        <v>1272997718.21</v>
      </c>
    </row>
    <row r="53" spans="1:6" x14ac:dyDescent="0.2">
      <c r="A53" t="s">
        <v>0</v>
      </c>
      <c r="B53" s="13">
        <v>208274.75</v>
      </c>
      <c r="C53" s="13"/>
      <c r="D53" s="13">
        <v>235918</v>
      </c>
      <c r="E53" s="13"/>
      <c r="F53" s="13">
        <v>674650.66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18374635.609999999</v>
      </c>
      <c r="C55" s="13"/>
      <c r="D55" s="13">
        <v>32477295.689999998</v>
      </c>
      <c r="E55" s="13"/>
      <c r="F55" s="13">
        <v>129808532.71999998</v>
      </c>
    </row>
    <row r="56" spans="1:6" x14ac:dyDescent="0.2">
      <c r="A56" t="s">
        <v>25</v>
      </c>
      <c r="B56" s="13">
        <v>10106049.5855</v>
      </c>
      <c r="C56" s="13"/>
      <c r="D56" s="13">
        <v>17862512.629500002</v>
      </c>
      <c r="E56" s="13"/>
      <c r="F56" s="13">
        <v>71394692.995999992</v>
      </c>
    </row>
    <row r="57" spans="1:6" x14ac:dyDescent="0.2">
      <c r="A57" t="s">
        <v>32</v>
      </c>
      <c r="B57" s="13">
        <v>8268586.0245000003</v>
      </c>
      <c r="C57" s="13"/>
      <c r="D57" s="13">
        <v>14614783.0605</v>
      </c>
      <c r="E57" s="13"/>
      <c r="F57" s="13">
        <v>58413839.723999992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81" t="s">
        <v>51</v>
      </c>
      <c r="B61" s="81"/>
      <c r="C61" s="81"/>
      <c r="D61" s="81"/>
      <c r="E61" s="81"/>
      <c r="F61" s="81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9.140625" style="1"/>
  </cols>
  <sheetData>
    <row r="1" spans="1:7" ht="60.75" customHeight="1" x14ac:dyDescent="0.2">
      <c r="A1" s="76"/>
      <c r="B1" s="76"/>
      <c r="C1" s="76"/>
      <c r="D1" s="76"/>
      <c r="E1" s="76"/>
      <c r="F1" s="76"/>
    </row>
    <row r="2" spans="1:7" ht="26.25" customHeight="1" x14ac:dyDescent="0.25">
      <c r="A2" s="77" t="s">
        <v>22</v>
      </c>
      <c r="B2" s="78"/>
      <c r="C2" s="78"/>
      <c r="D2" s="78"/>
      <c r="E2" s="78"/>
      <c r="F2" s="78"/>
    </row>
    <row r="3" spans="1:7" ht="26.25" customHeight="1" x14ac:dyDescent="0.2"/>
    <row r="4" spans="1:7" x14ac:dyDescent="0.2">
      <c r="B4" s="10"/>
      <c r="C4" s="10"/>
      <c r="D4" s="12" t="s">
        <v>14</v>
      </c>
      <c r="E4" s="10"/>
      <c r="F4" s="12" t="s">
        <v>13</v>
      </c>
    </row>
    <row r="5" spans="1:7" x14ac:dyDescent="0.2">
      <c r="A5" s="9"/>
      <c r="B5" s="9" t="s">
        <v>19</v>
      </c>
      <c r="C5" s="9"/>
      <c r="D5" s="11" t="s">
        <v>11</v>
      </c>
      <c r="F5" s="11" t="s">
        <v>8</v>
      </c>
      <c r="G5" s="2"/>
    </row>
    <row r="7" spans="1:7" x14ac:dyDescent="0.2">
      <c r="A7" s="8" t="s">
        <v>3</v>
      </c>
      <c r="B7" s="8"/>
      <c r="C7" s="8"/>
    </row>
    <row r="8" spans="1:7" x14ac:dyDescent="0.2">
      <c r="A8" t="s">
        <v>1</v>
      </c>
      <c r="B8" s="13">
        <v>1257525.01</v>
      </c>
      <c r="D8" s="13">
        <v>1257525.01</v>
      </c>
      <c r="F8" s="13">
        <v>1257525.01</v>
      </c>
    </row>
    <row r="9" spans="1:7" x14ac:dyDescent="0.2">
      <c r="A9" t="s">
        <v>2</v>
      </c>
      <c r="B9" s="13">
        <v>1162475.53</v>
      </c>
      <c r="D9" s="13">
        <v>1162475.53</v>
      </c>
      <c r="F9" s="13">
        <v>1162475.53</v>
      </c>
    </row>
    <row r="10" spans="1:7" x14ac:dyDescent="0.2">
      <c r="A10" t="s">
        <v>0</v>
      </c>
      <c r="B10" s="13">
        <v>0</v>
      </c>
      <c r="D10" s="13">
        <v>0</v>
      </c>
      <c r="F10" s="13">
        <v>0</v>
      </c>
    </row>
    <row r="11" spans="1:7" x14ac:dyDescent="0.2">
      <c r="A11" t="s">
        <v>31</v>
      </c>
      <c r="B11" s="13">
        <f>+B8-B9-B10</f>
        <v>95049.479999999981</v>
      </c>
      <c r="D11" s="13">
        <f>+D8-D9-D10</f>
        <v>95049.479999999981</v>
      </c>
      <c r="F11" s="13">
        <f>+F8-F9-F10</f>
        <v>95049.479999999981</v>
      </c>
    </row>
    <row r="12" spans="1:7" x14ac:dyDescent="0.2">
      <c r="A12" t="s">
        <v>25</v>
      </c>
      <c r="B12" s="13">
        <v>52277.213999999993</v>
      </c>
      <c r="D12" s="13">
        <v>52277.213999999993</v>
      </c>
      <c r="F12" s="13">
        <v>52277.213999999993</v>
      </c>
    </row>
    <row r="13" spans="1:7" x14ac:dyDescent="0.2">
      <c r="A13" t="s">
        <v>32</v>
      </c>
      <c r="B13" s="13">
        <v>42772.265999999996</v>
      </c>
      <c r="D13" s="13">
        <v>42772.265999999996</v>
      </c>
      <c r="F13" s="13">
        <v>42772.265999999996</v>
      </c>
    </row>
    <row r="14" spans="1:7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  <row r="21" spans="1:1" x14ac:dyDescent="0.2">
      <c r="A21" s="24" t="s">
        <v>39</v>
      </c>
    </row>
  </sheetData>
  <mergeCells count="2">
    <mergeCell ref="A1:F1"/>
    <mergeCell ref="A2:F2"/>
  </mergeCells>
  <phoneticPr fontId="4" type="noConversion"/>
  <pageMargins left="0.75" right="0.75" top="1" bottom="1" header="0.5" footer="0.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zoomScaleNormal="100"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83"/>
      <c r="B1" s="83"/>
      <c r="C1" s="83"/>
      <c r="D1" s="83"/>
      <c r="E1" s="83"/>
      <c r="F1" s="83"/>
    </row>
    <row r="2" spans="1:6" ht="18" x14ac:dyDescent="0.25">
      <c r="A2" s="77" t="s">
        <v>22</v>
      </c>
      <c r="B2" s="78"/>
      <c r="C2" s="78"/>
      <c r="D2" s="78"/>
      <c r="E2" s="78"/>
      <c r="F2" s="78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">
      <c r="A5" s="9"/>
      <c r="B5" s="11" t="s">
        <v>57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29179714.770000003</v>
      </c>
      <c r="C8" s="13"/>
      <c r="D8" s="13">
        <v>88891136.209999993</v>
      </c>
      <c r="E8" s="13"/>
      <c r="F8" s="13">
        <v>352865256.27000004</v>
      </c>
    </row>
    <row r="9" spans="1:6" x14ac:dyDescent="0.2">
      <c r="A9" t="s">
        <v>2</v>
      </c>
      <c r="B9" s="13">
        <v>26312101.600000001</v>
      </c>
      <c r="C9" s="13"/>
      <c r="D9" s="13">
        <v>80195897.590000004</v>
      </c>
      <c r="E9" s="13"/>
      <c r="F9" s="13">
        <v>318639429.22000003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2867613.17</v>
      </c>
      <c r="C12" s="13"/>
      <c r="D12" s="13">
        <v>8695238.620000001</v>
      </c>
      <c r="E12" s="13"/>
      <c r="F12" s="13">
        <v>34418569.079999998</v>
      </c>
    </row>
    <row r="13" spans="1:6" x14ac:dyDescent="0.2">
      <c r="A13" t="s">
        <v>25</v>
      </c>
      <c r="B13" s="13">
        <v>1577187.243500001</v>
      </c>
      <c r="C13" s="13"/>
      <c r="D13" s="13">
        <v>4782381.2410000013</v>
      </c>
      <c r="E13" s="13"/>
      <c r="F13" s="13">
        <v>18930212.993999999</v>
      </c>
    </row>
    <row r="14" spans="1:6" x14ac:dyDescent="0.2">
      <c r="A14" t="s">
        <v>32</v>
      </c>
      <c r="B14" s="13">
        <v>1290425.9265000008</v>
      </c>
      <c r="C14" s="13"/>
      <c r="D14" s="13">
        <v>3912857.3790000007</v>
      </c>
      <c r="E14" s="13"/>
      <c r="F14" s="13">
        <v>15488356.085999999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51030288.560000002</v>
      </c>
      <c r="C19" s="13"/>
      <c r="D19" s="13">
        <v>153868911.19</v>
      </c>
      <c r="E19" s="13"/>
      <c r="F19" s="13">
        <v>632123254</v>
      </c>
    </row>
    <row r="20" spans="1:6" x14ac:dyDescent="0.2">
      <c r="A20" t="s">
        <v>2</v>
      </c>
      <c r="B20" s="13">
        <v>46412530.520000003</v>
      </c>
      <c r="C20" s="13"/>
      <c r="D20" s="13">
        <v>140126693.01000002</v>
      </c>
      <c r="E20" s="13"/>
      <c r="F20" s="13">
        <v>576170965.36000001</v>
      </c>
    </row>
    <row r="21" spans="1:6" x14ac:dyDescent="0.2">
      <c r="A21" t="s">
        <v>0</v>
      </c>
      <c r="B21" s="13">
        <v>28515.25</v>
      </c>
      <c r="C21" s="13"/>
      <c r="D21" s="13">
        <v>101196.5</v>
      </c>
      <c r="E21" s="13"/>
      <c r="F21" s="13">
        <v>512098.25</v>
      </c>
    </row>
    <row r="22" spans="1:6" x14ac:dyDescent="0.2">
      <c r="A22" t="s">
        <v>31</v>
      </c>
      <c r="B22" s="13">
        <v>4589242.79</v>
      </c>
      <c r="C22" s="13"/>
      <c r="D22" s="13">
        <v>13641021.679999992</v>
      </c>
      <c r="E22" s="13"/>
      <c r="F22" s="13">
        <v>55440190.390000001</v>
      </c>
    </row>
    <row r="23" spans="1:6" x14ac:dyDescent="0.2">
      <c r="A23" t="s">
        <v>25</v>
      </c>
      <c r="B23" s="13">
        <v>2524083.5344999996</v>
      </c>
      <c r="C23" s="13"/>
      <c r="D23" s="13">
        <v>7502561.9239999959</v>
      </c>
      <c r="E23" s="13"/>
      <c r="F23" s="13">
        <v>30492104.714500003</v>
      </c>
    </row>
    <row r="24" spans="1:6" x14ac:dyDescent="0.2">
      <c r="A24" t="s">
        <v>32</v>
      </c>
      <c r="B24" s="13">
        <v>2065159.2554999997</v>
      </c>
      <c r="C24" s="13"/>
      <c r="D24" s="13">
        <v>6138459.7559999963</v>
      </c>
      <c r="E24" s="13"/>
      <c r="F24" s="13">
        <v>24948085.675500002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50989618.950000003</v>
      </c>
      <c r="C29" s="13"/>
      <c r="D29" s="13">
        <v>148961012.50999999</v>
      </c>
      <c r="E29" s="13"/>
      <c r="F29" s="13">
        <v>449188845.69999999</v>
      </c>
    </row>
    <row r="30" spans="1:6" x14ac:dyDescent="0.2">
      <c r="A30" t="s">
        <v>2</v>
      </c>
      <c r="B30" s="13">
        <v>46116254.060000002</v>
      </c>
      <c r="C30" s="13"/>
      <c r="D30" s="13">
        <v>134674968.12</v>
      </c>
      <c r="E30" s="13"/>
      <c r="F30" s="13">
        <v>406140017.91000003</v>
      </c>
    </row>
    <row r="31" spans="1:6" x14ac:dyDescent="0.2">
      <c r="A31" t="s">
        <v>0</v>
      </c>
      <c r="B31" s="13">
        <v>99431.25</v>
      </c>
      <c r="C31" s="13"/>
      <c r="D31" s="13">
        <v>254278</v>
      </c>
      <c r="E31" s="13"/>
      <c r="F31" s="13">
        <v>255482</v>
      </c>
    </row>
    <row r="32" spans="1:6" x14ac:dyDescent="0.2">
      <c r="A32" t="s">
        <v>31</v>
      </c>
      <c r="B32" s="13">
        <v>4773933.6399999997</v>
      </c>
      <c r="C32" s="13"/>
      <c r="D32" s="13">
        <v>14031766.390000002</v>
      </c>
      <c r="E32" s="13"/>
      <c r="F32" s="13">
        <v>42793345.789999999</v>
      </c>
    </row>
    <row r="33" spans="1:6" x14ac:dyDescent="0.2">
      <c r="A33" t="s">
        <v>25</v>
      </c>
      <c r="B33" s="13">
        <v>2625663.5020000003</v>
      </c>
      <c r="C33" s="13"/>
      <c r="D33" s="13">
        <v>7717471.5145000024</v>
      </c>
      <c r="E33" s="13"/>
      <c r="F33" s="13">
        <v>23536340.184500001</v>
      </c>
    </row>
    <row r="34" spans="1:6" x14ac:dyDescent="0.2">
      <c r="A34" t="s">
        <v>32</v>
      </c>
      <c r="B34" s="13">
        <v>2148270.1380000003</v>
      </c>
      <c r="C34" s="13"/>
      <c r="D34" s="13">
        <v>6314294.875500001</v>
      </c>
      <c r="E34" s="13"/>
      <c r="F34" s="13">
        <v>19257005.605500001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81" t="s">
        <v>51</v>
      </c>
      <c r="B38" s="81"/>
      <c r="C38" s="81"/>
      <c r="D38" s="81"/>
      <c r="E38" s="81"/>
      <c r="F38" s="81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41679819.189999998</v>
      </c>
      <c r="C41" s="13"/>
      <c r="D41" s="13">
        <v>130534471.49999999</v>
      </c>
      <c r="E41" s="13"/>
      <c r="F41" s="13">
        <v>141983835.05999997</v>
      </c>
    </row>
    <row r="42" spans="1:6" x14ac:dyDescent="0.2">
      <c r="A42" t="s">
        <v>2</v>
      </c>
      <c r="B42" s="13">
        <v>37851218.490000002</v>
      </c>
      <c r="C42" s="13"/>
      <c r="D42" s="13">
        <v>118357422.2</v>
      </c>
      <c r="E42" s="13"/>
      <c r="F42" s="13">
        <v>128739410.39</v>
      </c>
    </row>
    <row r="43" spans="1:6" x14ac:dyDescent="0.2">
      <c r="A43" t="s">
        <v>0</v>
      </c>
      <c r="B43" s="13">
        <v>10679</v>
      </c>
      <c r="C43" s="13"/>
      <c r="D43" s="13">
        <v>19069</v>
      </c>
      <c r="E43" s="13"/>
      <c r="F43" s="13">
        <v>39285.910000000003</v>
      </c>
    </row>
    <row r="44" spans="1:6" x14ac:dyDescent="0.2">
      <c r="A44" t="s">
        <v>31</v>
      </c>
      <c r="B44" s="13">
        <v>3817921.7</v>
      </c>
      <c r="C44" s="13"/>
      <c r="D44" s="13">
        <v>12157980.300000003</v>
      </c>
      <c r="E44" s="13"/>
      <c r="F44" s="13">
        <v>13205138.760000004</v>
      </c>
    </row>
    <row r="45" spans="1:6" x14ac:dyDescent="0.2">
      <c r="A45" t="s">
        <v>25</v>
      </c>
      <c r="B45" s="13">
        <v>2099856.9349999977</v>
      </c>
      <c r="C45" s="13"/>
      <c r="D45" s="13">
        <v>6686889.1650000019</v>
      </c>
      <c r="E45" s="13"/>
      <c r="F45" s="13">
        <v>7262826.3180000028</v>
      </c>
    </row>
    <row r="46" spans="1:6" x14ac:dyDescent="0.2">
      <c r="A46" t="s">
        <v>32</v>
      </c>
      <c r="B46" s="13">
        <v>1718064.764999998</v>
      </c>
      <c r="C46" s="13"/>
      <c r="D46" s="13">
        <v>5471091.1350000016</v>
      </c>
      <c r="E46" s="13"/>
      <c r="F46" s="13">
        <v>5942312.4420000017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172879441.47</v>
      </c>
      <c r="C51" s="13"/>
      <c r="D51" s="13">
        <v>522255531.41000003</v>
      </c>
      <c r="E51" s="13"/>
      <c r="F51" s="13">
        <v>1576161191.03</v>
      </c>
    </row>
    <row r="52" spans="1:6" x14ac:dyDescent="0.2">
      <c r="A52" t="s">
        <v>2</v>
      </c>
      <c r="B52" s="13">
        <v>156692104.67000002</v>
      </c>
      <c r="C52" s="13"/>
      <c r="D52" s="13">
        <v>473354980.91999996</v>
      </c>
      <c r="E52" s="13"/>
      <c r="F52" s="13">
        <v>1429689822.8800001</v>
      </c>
    </row>
    <row r="53" spans="1:6" x14ac:dyDescent="0.2">
      <c r="A53" t="s">
        <v>0</v>
      </c>
      <c r="B53" s="13">
        <v>138625.5</v>
      </c>
      <c r="C53" s="13"/>
      <c r="D53" s="13">
        <v>374543.5</v>
      </c>
      <c r="E53" s="13"/>
      <c r="F53" s="13">
        <v>813276.16000000003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16048711.299999997</v>
      </c>
      <c r="C55" s="13"/>
      <c r="D55" s="13">
        <v>48526006.989999995</v>
      </c>
      <c r="E55" s="13"/>
      <c r="F55" s="13">
        <v>145857244.01999998</v>
      </c>
    </row>
    <row r="56" spans="1:6" x14ac:dyDescent="0.2">
      <c r="A56" t="s">
        <v>25</v>
      </c>
      <c r="B56" s="13">
        <v>8826791.2149999999</v>
      </c>
      <c r="C56" s="13"/>
      <c r="D56" s="13">
        <v>26689303.844499998</v>
      </c>
      <c r="E56" s="13"/>
      <c r="F56" s="13">
        <v>80221484.210999995</v>
      </c>
    </row>
    <row r="57" spans="1:6" x14ac:dyDescent="0.2">
      <c r="A57" t="s">
        <v>32</v>
      </c>
      <c r="B57" s="13">
        <v>7221920.084999999</v>
      </c>
      <c r="C57" s="13"/>
      <c r="D57" s="13">
        <v>21836703.145499997</v>
      </c>
      <c r="E57" s="13"/>
      <c r="F57" s="13">
        <v>65635759.808999993</v>
      </c>
    </row>
    <row r="58" spans="1:6" x14ac:dyDescent="0.2">
      <c r="A58" t="s">
        <v>5</v>
      </c>
      <c r="B58" s="26">
        <v>7929</v>
      </c>
    </row>
    <row r="59" spans="1:6" x14ac:dyDescent="0.2">
      <c r="B59" s="28"/>
    </row>
    <row r="61" spans="1:6" ht="76.5" customHeight="1" x14ac:dyDescent="0.2">
      <c r="A61" s="81" t="s">
        <v>51</v>
      </c>
      <c r="B61" s="81"/>
      <c r="C61" s="81"/>
      <c r="D61" s="81"/>
      <c r="E61" s="81"/>
      <c r="F61" s="81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pageSetup orientation="portrait" r:id="rId1"/>
  <headerFooter alignWithMargins="0"/>
  <rowBreaks count="1" manualBreakCount="1">
    <brk id="39" max="5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83"/>
      <c r="B1" s="83"/>
      <c r="C1" s="83"/>
      <c r="D1" s="83"/>
      <c r="E1" s="83"/>
      <c r="F1" s="83"/>
    </row>
    <row r="2" spans="1:6" ht="18" x14ac:dyDescent="0.25">
      <c r="A2" s="77" t="s">
        <v>22</v>
      </c>
      <c r="B2" s="78"/>
      <c r="C2" s="78"/>
      <c r="D2" s="78"/>
      <c r="E2" s="78"/>
      <c r="F2" s="78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">
      <c r="A5" s="9"/>
      <c r="B5" s="11" t="s">
        <v>58</v>
      </c>
      <c r="C5" s="9"/>
      <c r="D5" s="11" t="s">
        <v>11</v>
      </c>
      <c r="F5" s="11" t="s">
        <v>8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35433076.449999996</v>
      </c>
      <c r="C8" s="13"/>
      <c r="D8" s="13">
        <v>124324212.66</v>
      </c>
      <c r="E8" s="13"/>
      <c r="F8" s="13">
        <v>388298332.72000003</v>
      </c>
    </row>
    <row r="9" spans="1:6" x14ac:dyDescent="0.2">
      <c r="A9" t="s">
        <v>2</v>
      </c>
      <c r="B9" s="13">
        <v>32059322.950000003</v>
      </c>
      <c r="C9" s="13"/>
      <c r="D9" s="13">
        <v>112255220.54000001</v>
      </c>
      <c r="E9" s="13"/>
      <c r="F9" s="13">
        <v>350698752.17000002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3373753.4999999925</v>
      </c>
      <c r="C12" s="13"/>
      <c r="D12" s="13">
        <v>12068992.119999997</v>
      </c>
      <c r="E12" s="13"/>
      <c r="F12" s="13">
        <v>37792322.579999998</v>
      </c>
    </row>
    <row r="13" spans="1:6" x14ac:dyDescent="0.2">
      <c r="A13" t="s">
        <v>25</v>
      </c>
      <c r="B13" s="13">
        <v>1855564.4249999961</v>
      </c>
      <c r="C13" s="13"/>
      <c r="D13" s="13">
        <v>6637945.6659999993</v>
      </c>
      <c r="E13" s="13"/>
      <c r="F13" s="13">
        <v>20785777.419</v>
      </c>
    </row>
    <row r="14" spans="1:6" x14ac:dyDescent="0.2">
      <c r="A14" t="s">
        <v>32</v>
      </c>
      <c r="B14" s="13">
        <v>1518189.0749999967</v>
      </c>
      <c r="C14" s="13"/>
      <c r="D14" s="13">
        <v>5431046.453999999</v>
      </c>
      <c r="E14" s="13"/>
      <c r="F14" s="13">
        <v>17006545.160999998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61559519.839999996</v>
      </c>
      <c r="C19" s="13"/>
      <c r="D19" s="13">
        <v>215428431.03</v>
      </c>
      <c r="E19" s="13"/>
      <c r="F19" s="13">
        <v>693682773.83999991</v>
      </c>
    </row>
    <row r="20" spans="1:6" x14ac:dyDescent="0.2">
      <c r="A20" t="s">
        <v>2</v>
      </c>
      <c r="B20" s="13">
        <v>55950278.130000003</v>
      </c>
      <c r="C20" s="13"/>
      <c r="D20" s="13">
        <v>196076971.14000005</v>
      </c>
      <c r="E20" s="13"/>
      <c r="F20" s="13">
        <v>632121243.49000001</v>
      </c>
    </row>
    <row r="21" spans="1:6" x14ac:dyDescent="0.2">
      <c r="A21" t="s">
        <v>0</v>
      </c>
      <c r="B21" s="13">
        <v>89137.5</v>
      </c>
      <c r="C21" s="13"/>
      <c r="D21" s="13">
        <v>190334</v>
      </c>
      <c r="E21" s="13"/>
      <c r="F21" s="13">
        <v>601235.75</v>
      </c>
    </row>
    <row r="22" spans="1:6" x14ac:dyDescent="0.2">
      <c r="A22" t="s">
        <v>31</v>
      </c>
      <c r="B22" s="13">
        <v>5520104.2099999934</v>
      </c>
      <c r="C22" s="13"/>
      <c r="D22" s="13">
        <v>19161125.889999993</v>
      </c>
      <c r="E22" s="13"/>
      <c r="F22" s="13">
        <v>60960294.600000001</v>
      </c>
    </row>
    <row r="23" spans="1:6" x14ac:dyDescent="0.2">
      <c r="A23" t="s">
        <v>25</v>
      </c>
      <c r="B23" s="13">
        <v>3036057.3154999968</v>
      </c>
      <c r="C23" s="13"/>
      <c r="D23" s="13">
        <v>10538619.239499997</v>
      </c>
      <c r="E23" s="13"/>
      <c r="F23" s="13">
        <v>33528162.030000005</v>
      </c>
    </row>
    <row r="24" spans="1:6" x14ac:dyDescent="0.2">
      <c r="A24" t="s">
        <v>32</v>
      </c>
      <c r="B24" s="13">
        <v>2484046.8944999971</v>
      </c>
      <c r="C24" s="13"/>
      <c r="D24" s="13">
        <v>8622506.6504999977</v>
      </c>
      <c r="E24" s="13"/>
      <c r="F24" s="13">
        <v>27432132.57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58696309.629999995</v>
      </c>
      <c r="C29" s="13"/>
      <c r="D29" s="13">
        <v>207657322.14000002</v>
      </c>
      <c r="E29" s="13"/>
      <c r="F29" s="13">
        <v>507885155.33000004</v>
      </c>
    </row>
    <row r="30" spans="1:6" x14ac:dyDescent="0.2">
      <c r="A30" t="s">
        <v>2</v>
      </c>
      <c r="B30" s="13">
        <v>53019856.129999995</v>
      </c>
      <c r="C30" s="13"/>
      <c r="D30" s="13">
        <v>187694824.25000003</v>
      </c>
      <c r="E30" s="13"/>
      <c r="F30" s="13">
        <v>459159874.04000008</v>
      </c>
    </row>
    <row r="31" spans="1:6" x14ac:dyDescent="0.2">
      <c r="A31" t="s">
        <v>0</v>
      </c>
      <c r="B31" s="13">
        <v>11146</v>
      </c>
      <c r="C31" s="13"/>
      <c r="D31" s="13">
        <v>265424</v>
      </c>
      <c r="E31" s="13"/>
      <c r="F31" s="13">
        <v>266628</v>
      </c>
    </row>
    <row r="32" spans="1:6" x14ac:dyDescent="0.2">
      <c r="A32" t="s">
        <v>31</v>
      </c>
      <c r="B32" s="13">
        <v>5665307.5</v>
      </c>
      <c r="C32" s="13"/>
      <c r="D32" s="13">
        <v>19697073.890000001</v>
      </c>
      <c r="E32" s="13"/>
      <c r="F32" s="13">
        <v>48458653.289999992</v>
      </c>
    </row>
    <row r="33" spans="1:6" x14ac:dyDescent="0.2">
      <c r="A33" t="s">
        <v>25</v>
      </c>
      <c r="B33" s="13">
        <v>3115919.1250000005</v>
      </c>
      <c r="C33" s="13"/>
      <c r="D33" s="13">
        <v>10833390.639500001</v>
      </c>
      <c r="E33" s="13"/>
      <c r="F33" s="13">
        <v>26652259.309499998</v>
      </c>
    </row>
    <row r="34" spans="1:6" x14ac:dyDescent="0.2">
      <c r="A34" t="s">
        <v>32</v>
      </c>
      <c r="B34" s="13">
        <v>2549388.375</v>
      </c>
      <c r="C34" s="13"/>
      <c r="D34" s="13">
        <v>8863683.250500001</v>
      </c>
      <c r="E34" s="13"/>
      <c r="F34" s="13">
        <v>21806393.980499998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81" t="s">
        <v>51</v>
      </c>
      <c r="B38" s="81"/>
      <c r="C38" s="81"/>
      <c r="D38" s="81"/>
      <c r="E38" s="81"/>
      <c r="F38" s="81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ht="13.5" x14ac:dyDescent="0.25">
      <c r="A41" t="s">
        <v>1</v>
      </c>
      <c r="B41" s="13">
        <v>41111564.050000004</v>
      </c>
      <c r="C41" s="13"/>
      <c r="D41" s="30">
        <v>171646035.54999995</v>
      </c>
      <c r="E41" s="13"/>
      <c r="F41" s="13">
        <v>183095399.10999995</v>
      </c>
    </row>
    <row r="42" spans="1:6" ht="13.5" x14ac:dyDescent="0.25">
      <c r="A42" t="s">
        <v>2</v>
      </c>
      <c r="B42" s="13">
        <v>37347597.219999999</v>
      </c>
      <c r="C42" s="13"/>
      <c r="D42" s="30">
        <v>155705019.42000002</v>
      </c>
      <c r="E42" s="13"/>
      <c r="F42" s="13">
        <v>166087007.61000001</v>
      </c>
    </row>
    <row r="43" spans="1:6" ht="13.5" x14ac:dyDescent="0.25">
      <c r="A43" t="s">
        <v>0</v>
      </c>
      <c r="B43" s="13">
        <v>24095.25</v>
      </c>
      <c r="C43" s="13"/>
      <c r="D43" s="30">
        <v>43164.25</v>
      </c>
      <c r="E43" s="13"/>
      <c r="F43" s="13">
        <v>63381.16</v>
      </c>
    </row>
    <row r="44" spans="1:6" ht="13.5" x14ac:dyDescent="0.25">
      <c r="A44" t="s">
        <v>31</v>
      </c>
      <c r="B44" s="13">
        <v>3739871.5800000057</v>
      </c>
      <c r="C44" s="13"/>
      <c r="D44" s="30">
        <v>15897851.880000005</v>
      </c>
      <c r="E44" s="13"/>
      <c r="F44" s="13">
        <v>16945010.340000004</v>
      </c>
    </row>
    <row r="45" spans="1:6" x14ac:dyDescent="0.2">
      <c r="A45" t="s">
        <v>25</v>
      </c>
      <c r="B45" s="13">
        <v>2056929.3690000032</v>
      </c>
      <c r="C45" s="13"/>
      <c r="D45" s="13">
        <v>8743818.5340000037</v>
      </c>
      <c r="E45" s="13"/>
      <c r="F45" s="13">
        <v>9319755.6870000027</v>
      </c>
    </row>
    <row r="46" spans="1:6" x14ac:dyDescent="0.2">
      <c r="A46" t="s">
        <v>32</v>
      </c>
      <c r="B46" s="13">
        <v>1682942.2110000027</v>
      </c>
      <c r="C46" s="13"/>
      <c r="D46" s="13">
        <v>7154033.3460000018</v>
      </c>
      <c r="E46" s="13"/>
      <c r="F46" s="13">
        <v>7625254.6530000018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196800469.97</v>
      </c>
      <c r="C51" s="13"/>
      <c r="D51" s="13">
        <v>719056001.38000011</v>
      </c>
      <c r="E51" s="13"/>
      <c r="F51" s="13">
        <v>1772961661</v>
      </c>
    </row>
    <row r="52" spans="1:6" x14ac:dyDescent="0.2">
      <c r="A52" t="s">
        <v>2</v>
      </c>
      <c r="B52" s="13">
        <v>178377054.43000001</v>
      </c>
      <c r="C52" s="13"/>
      <c r="D52" s="13">
        <v>651732035.34999979</v>
      </c>
      <c r="E52" s="13"/>
      <c r="F52" s="13">
        <v>1608066877.3099999</v>
      </c>
    </row>
    <row r="53" spans="1:6" x14ac:dyDescent="0.2">
      <c r="A53" t="s">
        <v>0</v>
      </c>
      <c r="B53" s="13">
        <v>124378.75</v>
      </c>
      <c r="C53" s="13"/>
      <c r="D53" s="13">
        <v>498922.25</v>
      </c>
      <c r="E53" s="13"/>
      <c r="F53" s="13">
        <v>937654.91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18299036.789999992</v>
      </c>
      <c r="C55" s="13"/>
      <c r="D55" s="13">
        <v>66825043.779999994</v>
      </c>
      <c r="E55" s="13"/>
      <c r="F55" s="13">
        <v>164156280.80999997</v>
      </c>
    </row>
    <row r="56" spans="1:6" x14ac:dyDescent="0.2">
      <c r="A56" t="s">
        <v>25</v>
      </c>
      <c r="B56" s="13">
        <v>10064470.234499997</v>
      </c>
      <c r="C56" s="13"/>
      <c r="D56" s="13">
        <v>36753774.078999996</v>
      </c>
      <c r="E56" s="13"/>
      <c r="F56" s="13">
        <v>90285954.445499986</v>
      </c>
    </row>
    <row r="57" spans="1:6" x14ac:dyDescent="0.2">
      <c r="A57" t="s">
        <v>32</v>
      </c>
      <c r="B57" s="13">
        <v>8234566.5554999961</v>
      </c>
      <c r="C57" s="13"/>
      <c r="D57" s="13">
        <v>30071269.700999998</v>
      </c>
      <c r="E57" s="13"/>
      <c r="F57" s="13">
        <v>73870326.364499986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81" t="s">
        <v>51</v>
      </c>
      <c r="B61" s="81"/>
      <c r="C61" s="81"/>
      <c r="D61" s="81"/>
      <c r="E61" s="81"/>
      <c r="F61" s="81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7.28515625" bestFit="1" customWidth="1"/>
  </cols>
  <sheetData>
    <row r="1" spans="1:8" ht="63" customHeight="1" x14ac:dyDescent="0.2">
      <c r="A1" s="83"/>
      <c r="B1" s="83"/>
      <c r="C1" s="83"/>
      <c r="D1" s="83"/>
      <c r="E1" s="83"/>
      <c r="F1" s="83"/>
      <c r="G1" s="83"/>
      <c r="H1" s="83"/>
    </row>
    <row r="2" spans="1:8" ht="18" x14ac:dyDescent="0.25">
      <c r="A2" s="77" t="s">
        <v>22</v>
      </c>
      <c r="B2" s="78"/>
      <c r="C2" s="78"/>
      <c r="D2" s="78"/>
      <c r="E2" s="78"/>
      <c r="F2" s="78"/>
      <c r="G2" s="78"/>
      <c r="H2" s="78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53</v>
      </c>
      <c r="E4" s="10"/>
      <c r="F4" s="16" t="s">
        <v>60</v>
      </c>
      <c r="G4" s="10"/>
      <c r="H4" s="16" t="s">
        <v>28</v>
      </c>
    </row>
    <row r="5" spans="1:8" x14ac:dyDescent="0.2">
      <c r="A5" s="9"/>
      <c r="B5" s="11" t="s">
        <v>59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35500212.219999999</v>
      </c>
      <c r="C8" s="13"/>
      <c r="D8" s="13">
        <v>152992471.91</v>
      </c>
      <c r="E8" s="13"/>
      <c r="F8" s="13">
        <v>6831952.9699999997</v>
      </c>
      <c r="G8" s="13"/>
      <c r="H8" s="13">
        <v>423798544.94000006</v>
      </c>
    </row>
    <row r="9" spans="1:8" x14ac:dyDescent="0.2">
      <c r="A9" t="s">
        <v>2</v>
      </c>
      <c r="B9" s="13">
        <v>32198756.719999999</v>
      </c>
      <c r="C9" s="13"/>
      <c r="D9" s="13">
        <v>138234806.84</v>
      </c>
      <c r="E9" s="13"/>
      <c r="F9" s="13">
        <v>6219170.4199999999</v>
      </c>
      <c r="G9" s="13"/>
      <c r="H9" s="13">
        <v>382897508.89000005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3301455.5</v>
      </c>
      <c r="C12" s="13"/>
      <c r="D12" s="13">
        <v>14757665.07</v>
      </c>
      <c r="E12" s="13"/>
      <c r="F12" s="13">
        <v>612782.55000000005</v>
      </c>
      <c r="G12" s="13"/>
      <c r="H12" s="13">
        <v>41093778.079999998</v>
      </c>
    </row>
    <row r="13" spans="1:8" x14ac:dyDescent="0.2">
      <c r="A13" t="s">
        <v>25</v>
      </c>
      <c r="B13" s="13">
        <v>1815800.5250000006</v>
      </c>
      <c r="C13" s="13"/>
      <c r="D13" s="13">
        <v>8116715.7885000007</v>
      </c>
      <c r="E13" s="13"/>
      <c r="F13" s="13">
        <v>337030.40250000003</v>
      </c>
      <c r="G13" s="13"/>
      <c r="H13" s="13">
        <v>22601577.944000002</v>
      </c>
    </row>
    <row r="14" spans="1:8" x14ac:dyDescent="0.2">
      <c r="A14" t="s">
        <v>32</v>
      </c>
      <c r="B14" s="13">
        <v>1485654.9750000006</v>
      </c>
      <c r="C14" s="13"/>
      <c r="D14" s="13">
        <v>6640949.2815000005</v>
      </c>
      <c r="E14" s="13"/>
      <c r="F14" s="13">
        <v>275752.14750000002</v>
      </c>
      <c r="G14" s="13"/>
      <c r="H14" s="13">
        <v>18492200.136</v>
      </c>
    </row>
    <row r="15" spans="1:8" x14ac:dyDescent="0.2">
      <c r="A15" t="s">
        <v>5</v>
      </c>
      <c r="B15" s="28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59467824.990000002</v>
      </c>
      <c r="C19" s="13"/>
      <c r="D19" s="13">
        <v>263306567.14000002</v>
      </c>
      <c r="E19" s="13"/>
      <c r="F19" s="13">
        <v>11589688.880000001</v>
      </c>
      <c r="G19" s="13"/>
      <c r="H19" s="13">
        <v>753150598.82999992</v>
      </c>
    </row>
    <row r="20" spans="1:8" x14ac:dyDescent="0.2">
      <c r="A20" t="s">
        <v>2</v>
      </c>
      <c r="B20" s="13">
        <v>54085863.040000007</v>
      </c>
      <c r="C20" s="13"/>
      <c r="D20" s="13">
        <v>239680388.55000007</v>
      </c>
      <c r="E20" s="13"/>
      <c r="F20" s="13">
        <v>10482445.630000001</v>
      </c>
      <c r="G20" s="13"/>
      <c r="H20" s="13">
        <v>686207106.53000009</v>
      </c>
    </row>
    <row r="21" spans="1:8" x14ac:dyDescent="0.2">
      <c r="A21" t="s">
        <v>0</v>
      </c>
      <c r="B21" s="13">
        <v>60755.75</v>
      </c>
      <c r="C21" s="13"/>
      <c r="D21" s="13">
        <v>226031.39</v>
      </c>
      <c r="E21" s="13"/>
      <c r="F21" s="13">
        <v>25058.36</v>
      </c>
      <c r="G21" s="13"/>
      <c r="H21" s="13">
        <v>661991.5</v>
      </c>
    </row>
    <row r="22" spans="1:8" x14ac:dyDescent="0.2">
      <c r="A22" t="s">
        <v>31</v>
      </c>
      <c r="B22" s="13">
        <v>5321206.2</v>
      </c>
      <c r="C22" s="13"/>
      <c r="D22" s="13">
        <v>23400147.199999992</v>
      </c>
      <c r="E22" s="13"/>
      <c r="F22" s="13">
        <v>1082184.8899999999</v>
      </c>
      <c r="G22" s="13"/>
      <c r="H22" s="13">
        <v>66281500.799999997</v>
      </c>
    </row>
    <row r="23" spans="1:8" x14ac:dyDescent="0.2">
      <c r="A23" t="s">
        <v>25</v>
      </c>
      <c r="B23" s="13">
        <v>2926663.41</v>
      </c>
      <c r="C23" s="13"/>
      <c r="D23" s="13">
        <v>12870080.959999997</v>
      </c>
      <c r="E23" s="13"/>
      <c r="F23" s="13">
        <v>595201.68949999998</v>
      </c>
      <c r="G23" s="13"/>
      <c r="H23" s="13">
        <v>36454825.439999998</v>
      </c>
    </row>
    <row r="24" spans="1:8" x14ac:dyDescent="0.2">
      <c r="A24" t="s">
        <v>32</v>
      </c>
      <c r="B24" s="13">
        <v>2394542.79</v>
      </c>
      <c r="C24" s="13"/>
      <c r="D24" s="13">
        <v>10530066.239999996</v>
      </c>
      <c r="E24" s="13"/>
      <c r="F24" s="13">
        <v>486983.20049999998</v>
      </c>
      <c r="G24" s="13"/>
      <c r="H24" s="13">
        <v>29826675.359999999</v>
      </c>
    </row>
    <row r="25" spans="1:8" x14ac:dyDescent="0.2">
      <c r="A25" t="s">
        <v>5</v>
      </c>
      <c r="B25" s="28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59135499.840000004</v>
      </c>
      <c r="C29" s="13"/>
      <c r="D29" s="13">
        <v>256168624.20000002</v>
      </c>
      <c r="E29" s="13"/>
      <c r="F29" s="13">
        <v>10624197.779999999</v>
      </c>
      <c r="G29" s="13"/>
      <c r="H29" s="13">
        <v>567020655.16999996</v>
      </c>
    </row>
    <row r="30" spans="1:8" x14ac:dyDescent="0.2">
      <c r="A30" t="s">
        <v>2</v>
      </c>
      <c r="B30" s="13">
        <v>53598760.93</v>
      </c>
      <c r="C30" s="13"/>
      <c r="D30" s="13">
        <v>231593280.22000003</v>
      </c>
      <c r="E30" s="13"/>
      <c r="F30" s="13">
        <v>9700304.9600000009</v>
      </c>
      <c r="G30" s="13"/>
      <c r="H30" s="13">
        <v>512758634.97000003</v>
      </c>
    </row>
    <row r="31" spans="1:8" x14ac:dyDescent="0.2">
      <c r="A31" t="s">
        <v>0</v>
      </c>
      <c r="B31" s="13">
        <v>94877.5</v>
      </c>
      <c r="C31" s="13"/>
      <c r="D31" s="13">
        <v>342575.25</v>
      </c>
      <c r="E31" s="13"/>
      <c r="F31" s="13">
        <v>17726.25</v>
      </c>
      <c r="G31" s="13"/>
      <c r="H31" s="13">
        <v>361505.5</v>
      </c>
    </row>
    <row r="32" spans="1:8" x14ac:dyDescent="0.2">
      <c r="A32" t="s">
        <v>31</v>
      </c>
      <c r="B32" s="13">
        <v>5441861.4100000039</v>
      </c>
      <c r="C32" s="13"/>
      <c r="D32" s="13">
        <v>24232768.73</v>
      </c>
      <c r="E32" s="13"/>
      <c r="F32" s="13">
        <v>906166.56999999844</v>
      </c>
      <c r="G32" s="13"/>
      <c r="H32" s="13">
        <v>53900514.699999996</v>
      </c>
    </row>
    <row r="33" spans="1:8" x14ac:dyDescent="0.2">
      <c r="A33" t="s">
        <v>25</v>
      </c>
      <c r="B33" s="13">
        <v>2993023.7755000023</v>
      </c>
      <c r="C33" s="13"/>
      <c r="D33" s="13">
        <v>13328022.801500002</v>
      </c>
      <c r="E33" s="13"/>
      <c r="F33" s="13">
        <v>498391.61349999916</v>
      </c>
      <c r="G33" s="13"/>
      <c r="H33" s="13">
        <v>29645283.085000001</v>
      </c>
    </row>
    <row r="34" spans="1:8" x14ac:dyDescent="0.2">
      <c r="A34" t="s">
        <v>32</v>
      </c>
      <c r="B34" s="13">
        <v>2448837.634500002</v>
      </c>
      <c r="C34" s="13"/>
      <c r="D34" s="13">
        <v>10904745.9285</v>
      </c>
      <c r="E34" s="13"/>
      <c r="F34" s="13">
        <v>407774.95649999933</v>
      </c>
      <c r="G34" s="13"/>
      <c r="H34" s="13">
        <v>24255231.614999998</v>
      </c>
    </row>
    <row r="35" spans="1:8" x14ac:dyDescent="0.2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ht="75.95" customHeight="1" x14ac:dyDescent="0.2">
      <c r="A38" s="81" t="s">
        <v>51</v>
      </c>
      <c r="B38" s="81"/>
      <c r="C38" s="81"/>
      <c r="D38" s="81"/>
      <c r="E38" s="81"/>
      <c r="F38" s="81"/>
      <c r="G38" s="81"/>
      <c r="H38" s="81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A40" s="25" t="s">
        <v>50</v>
      </c>
      <c r="B40" s="13"/>
      <c r="C40" s="13"/>
      <c r="D40" s="13"/>
      <c r="E40" s="13"/>
      <c r="F40" s="13"/>
      <c r="G40" s="13"/>
      <c r="H40" s="13"/>
    </row>
    <row r="41" spans="1:8" x14ac:dyDescent="0.2">
      <c r="A41" t="s">
        <v>1</v>
      </c>
      <c r="B41" s="13">
        <v>41236815.620000005</v>
      </c>
      <c r="C41" s="13"/>
      <c r="D41" s="13">
        <v>206071163.07999992</v>
      </c>
      <c r="E41" s="13"/>
      <c r="F41" s="13">
        <v>6811688.0899999999</v>
      </c>
      <c r="G41" s="13"/>
      <c r="H41" s="13">
        <v>224332214.72999993</v>
      </c>
    </row>
    <row r="42" spans="1:8" x14ac:dyDescent="0.2">
      <c r="A42" t="s">
        <v>2</v>
      </c>
      <c r="B42" s="13">
        <v>37446093.419999994</v>
      </c>
      <c r="C42" s="13"/>
      <c r="D42" s="13">
        <v>186914595.46000004</v>
      </c>
      <c r="E42" s="13"/>
      <c r="F42" s="13">
        <v>6236517.3799999999</v>
      </c>
      <c r="G42" s="13"/>
      <c r="H42" s="13">
        <v>203533101.03000003</v>
      </c>
    </row>
    <row r="43" spans="1:8" x14ac:dyDescent="0.2">
      <c r="A43" t="s">
        <v>0</v>
      </c>
      <c r="B43" s="13">
        <v>20907.75</v>
      </c>
      <c r="C43" s="13"/>
      <c r="D43" s="13">
        <v>61919</v>
      </c>
      <c r="E43" s="13"/>
      <c r="F43" s="13">
        <v>2153</v>
      </c>
      <c r="G43" s="13"/>
      <c r="H43" s="13">
        <v>84288.91</v>
      </c>
    </row>
    <row r="44" spans="1:8" x14ac:dyDescent="0.2">
      <c r="A44" t="s">
        <v>31</v>
      </c>
      <c r="B44" s="13">
        <v>3769814.45</v>
      </c>
      <c r="C44" s="13"/>
      <c r="D44" s="13">
        <v>19094648.620000008</v>
      </c>
      <c r="E44" s="13"/>
      <c r="F44" s="13">
        <v>573017.71</v>
      </c>
      <c r="G44" s="13"/>
      <c r="H44" s="13">
        <v>20714824.79000001</v>
      </c>
    </row>
    <row r="45" spans="1:8" x14ac:dyDescent="0.2">
      <c r="A45" t="s">
        <v>25</v>
      </c>
      <c r="B45" s="13">
        <v>2073397.9475000002</v>
      </c>
      <c r="C45" s="13"/>
      <c r="D45" s="13">
        <v>10502056.741000006</v>
      </c>
      <c r="E45" s="13"/>
      <c r="F45" s="13">
        <v>315159.74050000001</v>
      </c>
      <c r="G45" s="13"/>
      <c r="H45" s="13">
        <v>11393153.634500006</v>
      </c>
    </row>
    <row r="46" spans="1:8" x14ac:dyDescent="0.2">
      <c r="A46" t="s">
        <v>32</v>
      </c>
      <c r="B46" s="13">
        <v>1696416.5025000002</v>
      </c>
      <c r="C46" s="13"/>
      <c r="D46" s="13">
        <v>8592591.8790000044</v>
      </c>
      <c r="E46" s="13"/>
      <c r="F46" s="13">
        <v>257857.96949999998</v>
      </c>
      <c r="G46" s="13"/>
      <c r="H46" s="13">
        <v>9321671.1555000041</v>
      </c>
    </row>
    <row r="47" spans="1:8" x14ac:dyDescent="0.2">
      <c r="A47" t="s">
        <v>5</v>
      </c>
      <c r="B47" s="28">
        <v>2000</v>
      </c>
      <c r="C47" s="13"/>
      <c r="D47" s="13"/>
      <c r="E47" s="13"/>
      <c r="F47" s="13"/>
      <c r="G47" s="13"/>
      <c r="H47" s="13"/>
    </row>
    <row r="48" spans="1:8" x14ac:dyDescent="0.2">
      <c r="B48" s="13"/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">
      <c r="A51" t="s">
        <v>1</v>
      </c>
      <c r="B51" s="13">
        <v>195340352.66999999</v>
      </c>
      <c r="C51" s="13"/>
      <c r="D51" s="13">
        <v>878538826.33000004</v>
      </c>
      <c r="E51" s="13"/>
      <c r="F51" s="13">
        <v>35857527.719999999</v>
      </c>
      <c r="G51" s="13"/>
      <c r="H51" s="13">
        <v>1968302013.6699998</v>
      </c>
    </row>
    <row r="52" spans="1:8" x14ac:dyDescent="0.2">
      <c r="A52" t="s">
        <v>2</v>
      </c>
      <c r="B52" s="13">
        <v>177329474.11000001</v>
      </c>
      <c r="C52" s="13"/>
      <c r="D52" s="13">
        <v>796423071.06999969</v>
      </c>
      <c r="E52" s="13"/>
      <c r="F52" s="13">
        <v>32638438.390000001</v>
      </c>
      <c r="G52" s="13"/>
      <c r="H52" s="13">
        <v>1785396351.4199998</v>
      </c>
    </row>
    <row r="53" spans="1:8" x14ac:dyDescent="0.2">
      <c r="A53" t="s">
        <v>0</v>
      </c>
      <c r="B53" s="13">
        <v>176541</v>
      </c>
      <c r="C53" s="13"/>
      <c r="D53" s="13">
        <v>630525.64</v>
      </c>
      <c r="E53" s="13"/>
      <c r="F53" s="13">
        <v>44937.61</v>
      </c>
      <c r="G53" s="13"/>
      <c r="H53" s="13">
        <v>1114195.9099999999</v>
      </c>
    </row>
    <row r="54" spans="1:8" x14ac:dyDescent="0.2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">
      <c r="A55" t="s">
        <v>31</v>
      </c>
      <c r="B55" s="13">
        <v>17834337.559999999</v>
      </c>
      <c r="C55" s="13"/>
      <c r="D55" s="13">
        <v>81485229.61999999</v>
      </c>
      <c r="E55" s="13"/>
      <c r="F55" s="13">
        <v>3174151.72</v>
      </c>
      <c r="G55" s="13"/>
      <c r="H55" s="13">
        <v>181990618.36999997</v>
      </c>
    </row>
    <row r="56" spans="1:8" x14ac:dyDescent="0.2">
      <c r="A56" t="s">
        <v>25</v>
      </c>
      <c r="B56" s="13">
        <v>9808885.6579999998</v>
      </c>
      <c r="C56" s="13"/>
      <c r="D56" s="13">
        <v>44816876.291000001</v>
      </c>
      <c r="E56" s="13"/>
      <c r="F56" s="13">
        <v>1745783.4460000002</v>
      </c>
      <c r="G56" s="13"/>
      <c r="H56" s="13">
        <v>100094840.10349999</v>
      </c>
    </row>
    <row r="57" spans="1:8" x14ac:dyDescent="0.2">
      <c r="A57" t="s">
        <v>32</v>
      </c>
      <c r="B57" s="13">
        <v>8025451.9019999998</v>
      </c>
      <c r="C57" s="13"/>
      <c r="D57" s="13">
        <v>36668353.328999996</v>
      </c>
      <c r="E57" s="13"/>
      <c r="F57" s="13">
        <v>1428368.2740000002</v>
      </c>
      <c r="G57" s="13"/>
      <c r="H57" s="13">
        <v>81895778.266499996</v>
      </c>
    </row>
    <row r="58" spans="1:8" x14ac:dyDescent="0.2">
      <c r="A58" t="s">
        <v>5</v>
      </c>
      <c r="B58" s="26">
        <v>7929</v>
      </c>
    </row>
    <row r="59" spans="1:8" x14ac:dyDescent="0.2">
      <c r="B59" s="28"/>
    </row>
    <row r="61" spans="1:8" ht="76.5" customHeight="1" x14ac:dyDescent="0.2">
      <c r="A61" s="81" t="s">
        <v>51</v>
      </c>
      <c r="B61" s="81"/>
      <c r="C61" s="81"/>
      <c r="D61" s="81"/>
      <c r="E61" s="81"/>
      <c r="F61" s="81"/>
      <c r="G61" s="81"/>
      <c r="H61" s="81"/>
    </row>
    <row r="62" spans="1:8" x14ac:dyDescent="0.2">
      <c r="A62" s="29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</sheetData>
  <mergeCells count="4">
    <mergeCell ref="A1:H1"/>
    <mergeCell ref="A2:H2"/>
    <mergeCell ref="A38:H38"/>
    <mergeCell ref="A61:H61"/>
  </mergeCells>
  <phoneticPr fontId="4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A38" sqref="A38:F38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7.28515625" bestFit="1" customWidth="1"/>
  </cols>
  <sheetData>
    <row r="1" spans="1:6" ht="63" customHeight="1" x14ac:dyDescent="0.2">
      <c r="A1" s="83"/>
      <c r="B1" s="83"/>
      <c r="C1" s="83"/>
      <c r="D1" s="83"/>
      <c r="E1" s="83"/>
      <c r="F1" s="83"/>
    </row>
    <row r="2" spans="1:6" ht="18" x14ac:dyDescent="0.25">
      <c r="A2" s="77" t="s">
        <v>22</v>
      </c>
      <c r="B2" s="78"/>
      <c r="C2" s="78"/>
      <c r="D2" s="78"/>
      <c r="E2" s="78"/>
      <c r="F2" s="78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62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36444812.590000004</v>
      </c>
      <c r="C8" s="13"/>
      <c r="D8" s="13">
        <v>43276765.560000002</v>
      </c>
      <c r="E8" s="13"/>
      <c r="F8" s="13">
        <v>460243357.53000003</v>
      </c>
    </row>
    <row r="9" spans="1:6" x14ac:dyDescent="0.2">
      <c r="A9" t="s">
        <v>2</v>
      </c>
      <c r="B9" s="13">
        <v>32994326.949999999</v>
      </c>
      <c r="C9" s="13"/>
      <c r="D9" s="13">
        <v>39213497.370000005</v>
      </c>
      <c r="E9" s="13"/>
      <c r="F9" s="13">
        <v>415891835.84000003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3450485.64</v>
      </c>
      <c r="C12" s="13"/>
      <c r="D12" s="13">
        <v>4063268.19</v>
      </c>
      <c r="E12" s="13"/>
      <c r="F12" s="13">
        <v>44544263.719999999</v>
      </c>
    </row>
    <row r="13" spans="1:6" x14ac:dyDescent="0.2">
      <c r="A13" t="s">
        <v>25</v>
      </c>
      <c r="B13" s="13">
        <v>1897767.1020000002</v>
      </c>
      <c r="C13" s="13"/>
      <c r="D13" s="13">
        <v>2234797.5045000003</v>
      </c>
      <c r="E13" s="13"/>
      <c r="F13" s="13">
        <v>24499345.046</v>
      </c>
    </row>
    <row r="14" spans="1:6" x14ac:dyDescent="0.2">
      <c r="A14" t="s">
        <v>32</v>
      </c>
      <c r="B14" s="13">
        <v>1552718.5380000002</v>
      </c>
      <c r="C14" s="13"/>
      <c r="D14" s="13">
        <v>1828470.6854999999</v>
      </c>
      <c r="E14" s="13"/>
      <c r="F14" s="13">
        <v>20044918.673999999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56223691.059999995</v>
      </c>
      <c r="C19" s="13"/>
      <c r="D19" s="13">
        <v>67813379.939999998</v>
      </c>
      <c r="E19" s="13"/>
      <c r="F19" s="13">
        <v>809374289.88999987</v>
      </c>
    </row>
    <row r="20" spans="1:6" x14ac:dyDescent="0.2">
      <c r="A20" t="s">
        <v>2</v>
      </c>
      <c r="B20" s="13">
        <v>51062992.68</v>
      </c>
      <c r="C20" s="13"/>
      <c r="D20" s="13">
        <v>61545438.310000002</v>
      </c>
      <c r="E20" s="13"/>
      <c r="F20" s="13">
        <v>737270099.21000004</v>
      </c>
    </row>
    <row r="21" spans="1:6" x14ac:dyDescent="0.2">
      <c r="A21" t="s">
        <v>0</v>
      </c>
      <c r="B21" s="13">
        <v>71777.2</v>
      </c>
      <c r="C21" s="13"/>
      <c r="D21" s="13">
        <v>96835.56</v>
      </c>
      <c r="E21" s="13"/>
      <c r="F21" s="13">
        <v>733768.7</v>
      </c>
    </row>
    <row r="22" spans="1:6" x14ac:dyDescent="0.2">
      <c r="A22" t="s">
        <v>31</v>
      </c>
      <c r="B22" s="13">
        <v>5088921.18</v>
      </c>
      <c r="C22" s="13"/>
      <c r="D22" s="13">
        <v>6171106.0699999994</v>
      </c>
      <c r="E22" s="13"/>
      <c r="F22" s="13">
        <v>71370421.979999989</v>
      </c>
    </row>
    <row r="23" spans="1:6" x14ac:dyDescent="0.2">
      <c r="A23" t="s">
        <v>25</v>
      </c>
      <c r="B23" s="13">
        <v>2798906.6490000002</v>
      </c>
      <c r="C23" s="13"/>
      <c r="D23" s="13">
        <v>3394108.3385000001</v>
      </c>
      <c r="E23" s="13"/>
      <c r="F23" s="13">
        <v>39253732.088999994</v>
      </c>
    </row>
    <row r="24" spans="1:6" x14ac:dyDescent="0.2">
      <c r="A24" t="s">
        <v>32</v>
      </c>
      <c r="B24" s="13">
        <v>2290014.531</v>
      </c>
      <c r="C24" s="13"/>
      <c r="D24" s="13">
        <v>2776997.7314999998</v>
      </c>
      <c r="E24" s="13"/>
      <c r="F24" s="13">
        <v>32116689.890999995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13"/>
      <c r="C27" s="13"/>
      <c r="D27" s="13"/>
      <c r="E27" s="13"/>
      <c r="F27" s="13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60650382.700000003</v>
      </c>
      <c r="C29" s="13"/>
      <c r="D29" s="13">
        <v>71274580.480000004</v>
      </c>
      <c r="E29" s="13"/>
      <c r="F29" s="13">
        <v>627671037.87</v>
      </c>
    </row>
    <row r="30" spans="1:6" x14ac:dyDescent="0.2">
      <c r="A30" t="s">
        <v>2</v>
      </c>
      <c r="B30" s="13">
        <v>54659320.980000004</v>
      </c>
      <c r="C30" s="13"/>
      <c r="D30" s="13">
        <v>64359625.940000005</v>
      </c>
      <c r="E30" s="13"/>
      <c r="F30" s="13">
        <v>567417955.95000005</v>
      </c>
    </row>
    <row r="31" spans="1:6" x14ac:dyDescent="0.2">
      <c r="A31" t="s">
        <v>0</v>
      </c>
      <c r="B31" s="13">
        <v>257497.8</v>
      </c>
      <c r="C31" s="13"/>
      <c r="D31" s="13">
        <v>275224.05</v>
      </c>
      <c r="E31" s="13"/>
      <c r="F31" s="13">
        <v>619003.30000000005</v>
      </c>
    </row>
    <row r="32" spans="1:6" x14ac:dyDescent="0.2">
      <c r="A32" t="s">
        <v>31</v>
      </c>
      <c r="B32" s="13">
        <v>5733563.9199999981</v>
      </c>
      <c r="C32" s="13"/>
      <c r="D32" s="13">
        <v>6639730.4899999965</v>
      </c>
      <c r="E32" s="13"/>
      <c r="F32" s="13">
        <v>59634078.61999999</v>
      </c>
    </row>
    <row r="33" spans="1:6" x14ac:dyDescent="0.2">
      <c r="A33" t="s">
        <v>25</v>
      </c>
      <c r="B33" s="13">
        <v>3153460.155999999</v>
      </c>
      <c r="C33" s="13"/>
      <c r="D33" s="13">
        <v>3651851.7694999985</v>
      </c>
      <c r="E33" s="13"/>
      <c r="F33" s="13">
        <v>32798743.240999997</v>
      </c>
    </row>
    <row r="34" spans="1:6" x14ac:dyDescent="0.2">
      <c r="A34" t="s">
        <v>32</v>
      </c>
      <c r="B34" s="13">
        <v>2580103.763999999</v>
      </c>
      <c r="C34" s="13"/>
      <c r="D34" s="13">
        <v>2987878.7204999984</v>
      </c>
      <c r="E34" s="13"/>
      <c r="F34" s="13">
        <v>26835335.378999997</v>
      </c>
    </row>
    <row r="35" spans="1:6" x14ac:dyDescent="0.2">
      <c r="A35" t="s">
        <v>5</v>
      </c>
      <c r="B35" s="26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95" customHeight="1" x14ac:dyDescent="0.2">
      <c r="A38" s="81" t="s">
        <v>51</v>
      </c>
      <c r="B38" s="81"/>
      <c r="C38" s="81"/>
      <c r="D38" s="81"/>
      <c r="E38" s="81"/>
      <c r="F38" s="81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29826374.370000001</v>
      </c>
      <c r="C41" s="13"/>
      <c r="D41" s="13">
        <v>36638062.460000008</v>
      </c>
      <c r="E41" s="13"/>
      <c r="F41" s="13">
        <v>254158589.09999993</v>
      </c>
    </row>
    <row r="42" spans="1:6" x14ac:dyDescent="0.2">
      <c r="A42" t="s">
        <v>2</v>
      </c>
      <c r="B42" s="13">
        <v>26975066.399999999</v>
      </c>
      <c r="C42" s="13"/>
      <c r="D42" s="13">
        <v>33211583.779999997</v>
      </c>
      <c r="E42" s="13"/>
      <c r="F42" s="13">
        <v>230508167.43000004</v>
      </c>
    </row>
    <row r="43" spans="1:6" x14ac:dyDescent="0.2">
      <c r="A43" t="s">
        <v>0</v>
      </c>
      <c r="B43" s="13">
        <v>12055</v>
      </c>
      <c r="C43" s="13"/>
      <c r="D43" s="13">
        <v>14208</v>
      </c>
      <c r="E43" s="13"/>
      <c r="F43" s="13">
        <v>96343.91</v>
      </c>
    </row>
    <row r="44" spans="1:6" x14ac:dyDescent="0.2">
      <c r="A44" t="s">
        <v>31</v>
      </c>
      <c r="B44" s="13">
        <v>2839252.97</v>
      </c>
      <c r="C44" s="13"/>
      <c r="D44" s="13">
        <v>3412270.68</v>
      </c>
      <c r="E44" s="13"/>
      <c r="F44" s="13">
        <v>23554077.760000009</v>
      </c>
    </row>
    <row r="45" spans="1:6" x14ac:dyDescent="0.2">
      <c r="A45" t="s">
        <v>25</v>
      </c>
      <c r="B45" s="13">
        <v>1561589.1335000002</v>
      </c>
      <c r="C45" s="13"/>
      <c r="D45" s="13">
        <v>1876748.8740000003</v>
      </c>
      <c r="E45" s="13"/>
      <c r="F45" s="13">
        <v>12954742.768000007</v>
      </c>
    </row>
    <row r="46" spans="1:6" x14ac:dyDescent="0.2">
      <c r="A46" t="s">
        <v>32</v>
      </c>
      <c r="B46" s="13">
        <v>1277663.8365000002</v>
      </c>
      <c r="C46" s="13"/>
      <c r="D46" s="13">
        <v>1535521.8060000001</v>
      </c>
      <c r="E46" s="13"/>
      <c r="F46" s="13">
        <v>10599334.992000004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183145260.72</v>
      </c>
      <c r="C51" s="13"/>
      <c r="D51" s="13">
        <v>219002788.44</v>
      </c>
      <c r="E51" s="13"/>
      <c r="F51" s="13">
        <v>2151447274.3899999</v>
      </c>
    </row>
    <row r="52" spans="1:6" x14ac:dyDescent="0.2">
      <c r="A52" t="s">
        <v>2</v>
      </c>
      <c r="B52" s="13">
        <v>165691707.00999999</v>
      </c>
      <c r="C52" s="13"/>
      <c r="D52" s="13">
        <v>198330145.39999998</v>
      </c>
      <c r="E52" s="13"/>
      <c r="F52" s="13">
        <v>1951088058.4299998</v>
      </c>
    </row>
    <row r="53" spans="1:6" x14ac:dyDescent="0.2">
      <c r="A53" t="s">
        <v>0</v>
      </c>
      <c r="B53" s="13">
        <v>341330</v>
      </c>
      <c r="C53" s="13"/>
      <c r="D53" s="13">
        <v>386267.61</v>
      </c>
      <c r="E53" s="13"/>
      <c r="F53" s="13">
        <v>1455525.91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17112223.709999997</v>
      </c>
      <c r="C55" s="13"/>
      <c r="D55" s="13">
        <v>20286375.43</v>
      </c>
      <c r="E55" s="13"/>
      <c r="F55" s="13">
        <v>199102842.07999998</v>
      </c>
    </row>
    <row r="56" spans="1:6" x14ac:dyDescent="0.2">
      <c r="A56" t="s">
        <v>25</v>
      </c>
      <c r="B56" s="13">
        <v>9411723.0405000001</v>
      </c>
      <c r="C56" s="13"/>
      <c r="D56" s="13">
        <v>11157506.486500001</v>
      </c>
      <c r="E56" s="13"/>
      <c r="F56" s="13">
        <v>109506563.14399999</v>
      </c>
    </row>
    <row r="57" spans="1:6" x14ac:dyDescent="0.2">
      <c r="A57" t="s">
        <v>32</v>
      </c>
      <c r="B57" s="13">
        <v>7700500.6694999989</v>
      </c>
      <c r="C57" s="13"/>
      <c r="D57" s="13">
        <v>9128868.943500001</v>
      </c>
      <c r="E57" s="13"/>
      <c r="F57" s="13">
        <v>89596278.93599999</v>
      </c>
    </row>
    <row r="58" spans="1:6" x14ac:dyDescent="0.2">
      <c r="A58" t="s">
        <v>5</v>
      </c>
      <c r="B58" s="26">
        <v>7929</v>
      </c>
    </row>
    <row r="61" spans="1:6" ht="76.5" customHeight="1" x14ac:dyDescent="0.2">
      <c r="A61" s="81" t="s">
        <v>51</v>
      </c>
      <c r="B61" s="81"/>
      <c r="C61" s="81"/>
      <c r="D61" s="81"/>
      <c r="E61" s="81"/>
      <c r="F61" s="81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sqref="A1:F1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83"/>
      <c r="B1" s="83"/>
      <c r="C1" s="83"/>
      <c r="D1" s="83"/>
      <c r="E1" s="83"/>
      <c r="F1" s="83"/>
    </row>
    <row r="2" spans="1:6" ht="18" x14ac:dyDescent="0.25">
      <c r="A2" s="77" t="s">
        <v>22</v>
      </c>
      <c r="B2" s="78"/>
      <c r="C2" s="78"/>
      <c r="D2" s="78"/>
      <c r="E2" s="78"/>
      <c r="F2" s="78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64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40352757.960000008</v>
      </c>
      <c r="C8" s="13"/>
      <c r="D8" s="13">
        <v>83629523.520000011</v>
      </c>
      <c r="E8" s="13"/>
      <c r="F8" s="13">
        <v>500596115.49000001</v>
      </c>
    </row>
    <row r="9" spans="1:6" x14ac:dyDescent="0.2">
      <c r="A9" t="s">
        <v>2</v>
      </c>
      <c r="B9" s="13">
        <v>36466533.839999996</v>
      </c>
      <c r="C9" s="13"/>
      <c r="D9" s="13">
        <v>75680031.210000008</v>
      </c>
      <c r="E9" s="13"/>
      <c r="F9" s="13">
        <v>452358369.68000001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3886224.1200000122</v>
      </c>
      <c r="C12" s="13"/>
      <c r="D12" s="13">
        <v>7949492.3100000117</v>
      </c>
      <c r="E12" s="13"/>
      <c r="F12" s="13">
        <v>48430487.840000011</v>
      </c>
    </row>
    <row r="13" spans="1:6" x14ac:dyDescent="0.2">
      <c r="A13" t="s">
        <v>25</v>
      </c>
      <c r="B13" s="13">
        <v>2137423.2660000068</v>
      </c>
      <c r="C13" s="13"/>
      <c r="D13" s="13">
        <v>4372220.7705000071</v>
      </c>
      <c r="E13" s="13"/>
      <c r="F13" s="13">
        <v>26636768.312000006</v>
      </c>
    </row>
    <row r="14" spans="1:6" x14ac:dyDescent="0.2">
      <c r="A14" t="s">
        <v>32</v>
      </c>
      <c r="B14" s="13">
        <v>1748800.8540000056</v>
      </c>
      <c r="C14" s="13"/>
      <c r="D14" s="13">
        <v>3577271.5395000055</v>
      </c>
      <c r="E14" s="13"/>
      <c r="F14" s="13">
        <v>21793719.528000005</v>
      </c>
    </row>
    <row r="15" spans="1:6" x14ac:dyDescent="0.2">
      <c r="A15" t="s">
        <v>5</v>
      </c>
      <c r="B15" s="28">
        <v>1109</v>
      </c>
      <c r="C15" s="13"/>
      <c r="D15" s="13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61156826.650000006</v>
      </c>
      <c r="C19" s="13"/>
      <c r="D19" s="13">
        <v>128970206.59</v>
      </c>
      <c r="E19" s="13"/>
      <c r="F19" s="13">
        <v>870531116.53999984</v>
      </c>
    </row>
    <row r="20" spans="1:6" x14ac:dyDescent="0.2">
      <c r="A20" t="s">
        <v>2</v>
      </c>
      <c r="B20" s="13">
        <v>55687189.130000003</v>
      </c>
      <c r="C20" s="13"/>
      <c r="D20" s="13">
        <v>117232627.44</v>
      </c>
      <c r="E20" s="13"/>
      <c r="F20" s="13">
        <v>792957288.34000003</v>
      </c>
    </row>
    <row r="21" spans="1:6" x14ac:dyDescent="0.2">
      <c r="A21" t="s">
        <v>0</v>
      </c>
      <c r="B21" s="13">
        <v>71889.8</v>
      </c>
      <c r="C21" s="13"/>
      <c r="D21" s="13">
        <v>168725.36</v>
      </c>
      <c r="E21" s="13"/>
      <c r="F21" s="13">
        <v>805658.5</v>
      </c>
    </row>
    <row r="22" spans="1:6" x14ac:dyDescent="0.2">
      <c r="A22" t="s">
        <v>31</v>
      </c>
      <c r="B22" s="13">
        <v>5397747.7200000035</v>
      </c>
      <c r="C22" s="13"/>
      <c r="D22" s="13">
        <v>11568853.790000003</v>
      </c>
      <c r="E22" s="13"/>
      <c r="F22" s="13">
        <v>76768169.699999988</v>
      </c>
    </row>
    <row r="23" spans="1:6" x14ac:dyDescent="0.2">
      <c r="A23" t="s">
        <v>25</v>
      </c>
      <c r="B23" s="13">
        <v>2968761.2460000021</v>
      </c>
      <c r="C23" s="13"/>
      <c r="D23" s="13">
        <v>6362869.5845000017</v>
      </c>
      <c r="E23" s="13"/>
      <c r="F23" s="13">
        <v>42222493.334999993</v>
      </c>
    </row>
    <row r="24" spans="1:6" x14ac:dyDescent="0.2">
      <c r="A24" t="s">
        <v>32</v>
      </c>
      <c r="B24" s="13">
        <v>2428986.4740000018</v>
      </c>
      <c r="C24" s="13"/>
      <c r="D24" s="13">
        <v>5205984.2055000011</v>
      </c>
      <c r="E24" s="13"/>
      <c r="F24" s="13">
        <v>34545676.364999995</v>
      </c>
    </row>
    <row r="25" spans="1:6" x14ac:dyDescent="0.2">
      <c r="A25" t="s">
        <v>5</v>
      </c>
      <c r="B25" s="28">
        <v>2076</v>
      </c>
      <c r="C25" s="13"/>
      <c r="D25" s="13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65919878.360000007</v>
      </c>
      <c r="C29" s="13"/>
      <c r="D29" s="13">
        <v>137194458.84</v>
      </c>
      <c r="E29" s="13"/>
      <c r="F29" s="13">
        <v>693590916.23000002</v>
      </c>
    </row>
    <row r="30" spans="1:6" x14ac:dyDescent="0.2">
      <c r="A30" t="s">
        <v>2</v>
      </c>
      <c r="B30" s="13">
        <v>59533254.449999996</v>
      </c>
      <c r="C30" s="13"/>
      <c r="D30" s="13">
        <v>123892880.39</v>
      </c>
      <c r="E30" s="13"/>
      <c r="F30" s="13">
        <v>626951210.4000001</v>
      </c>
    </row>
    <row r="31" spans="1:6" x14ac:dyDescent="0.2">
      <c r="A31" t="s">
        <v>0</v>
      </c>
      <c r="B31" s="13">
        <v>409668.7</v>
      </c>
      <c r="C31" s="13"/>
      <c r="D31" s="13">
        <v>684892.75</v>
      </c>
      <c r="E31" s="13"/>
      <c r="F31" s="13">
        <v>1028672</v>
      </c>
    </row>
    <row r="32" spans="1:6" x14ac:dyDescent="0.2">
      <c r="A32" t="s">
        <v>31</v>
      </c>
      <c r="B32" s="13">
        <v>5976955.2100000111</v>
      </c>
      <c r="C32" s="13"/>
      <c r="D32" s="13">
        <v>12616685.700000007</v>
      </c>
      <c r="E32" s="13"/>
      <c r="F32" s="13">
        <v>65611033.829999998</v>
      </c>
    </row>
    <row r="33" spans="1:6" x14ac:dyDescent="0.2">
      <c r="A33" t="s">
        <v>25</v>
      </c>
      <c r="B33" s="13">
        <v>3287325.3655000064</v>
      </c>
      <c r="C33" s="13"/>
      <c r="D33" s="13">
        <v>6939177.1350000054</v>
      </c>
      <c r="E33" s="13"/>
      <c r="F33" s="13">
        <v>36086068.6065</v>
      </c>
    </row>
    <row r="34" spans="1:6" x14ac:dyDescent="0.2">
      <c r="A34" t="s">
        <v>32</v>
      </c>
      <c r="B34" s="13">
        <v>2689629.8445000052</v>
      </c>
      <c r="C34" s="13"/>
      <c r="D34" s="13">
        <v>5677508.5650000032</v>
      </c>
      <c r="E34" s="13"/>
      <c r="F34" s="13">
        <v>29524965.223500002</v>
      </c>
    </row>
    <row r="35" spans="1:6" x14ac:dyDescent="0.2">
      <c r="A35" t="s">
        <v>5</v>
      </c>
      <c r="B35" s="31">
        <v>2744</v>
      </c>
      <c r="C35" s="13"/>
      <c r="D35" s="13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75" customHeight="1" x14ac:dyDescent="0.2">
      <c r="A38" s="81" t="s">
        <v>51</v>
      </c>
      <c r="B38" s="81"/>
      <c r="C38" s="81"/>
      <c r="D38" s="81"/>
      <c r="E38" s="81"/>
      <c r="F38" s="81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>
        <v>40332437.170000002</v>
      </c>
      <c r="C41" s="13"/>
      <c r="D41" s="13">
        <v>76970499.63000001</v>
      </c>
      <c r="E41" s="13"/>
      <c r="F41" s="13">
        <v>294491026.26999992</v>
      </c>
    </row>
    <row r="42" spans="1:6" x14ac:dyDescent="0.2">
      <c r="A42" t="s">
        <v>2</v>
      </c>
      <c r="B42" s="13">
        <v>36634771.269999996</v>
      </c>
      <c r="C42" s="13"/>
      <c r="D42" s="13">
        <v>69846355.049999997</v>
      </c>
      <c r="E42" s="13"/>
      <c r="F42" s="13">
        <v>267142938.70000005</v>
      </c>
    </row>
    <row r="43" spans="1:6" x14ac:dyDescent="0.2">
      <c r="A43" t="s">
        <v>0</v>
      </c>
      <c r="B43" s="13">
        <v>19547</v>
      </c>
      <c r="C43" s="13"/>
      <c r="D43" s="13">
        <v>33755</v>
      </c>
      <c r="E43" s="13"/>
      <c r="F43" s="13">
        <v>115890.91</v>
      </c>
    </row>
    <row r="44" spans="1:6" x14ac:dyDescent="0.2">
      <c r="A44" t="s">
        <v>31</v>
      </c>
      <c r="B44" s="13">
        <v>3678118.900000006</v>
      </c>
      <c r="C44" s="13"/>
      <c r="D44" s="13">
        <v>7090389.5800000057</v>
      </c>
      <c r="E44" s="13"/>
      <c r="F44" s="13">
        <v>27232196.660000015</v>
      </c>
    </row>
    <row r="45" spans="1:6" x14ac:dyDescent="0.2">
      <c r="A45" t="s">
        <v>25</v>
      </c>
      <c r="B45" s="13">
        <v>2022965.3950000035</v>
      </c>
      <c r="C45" s="13"/>
      <c r="D45" s="13">
        <v>3899714.269000004</v>
      </c>
      <c r="E45" s="13"/>
      <c r="F45" s="13">
        <v>14977708.16300001</v>
      </c>
    </row>
    <row r="46" spans="1:6" x14ac:dyDescent="0.2">
      <c r="A46" t="s">
        <v>32</v>
      </c>
      <c r="B46" s="13">
        <v>1655153.5050000027</v>
      </c>
      <c r="C46" s="13"/>
      <c r="D46" s="13">
        <v>3190675.3110000025</v>
      </c>
      <c r="E46" s="13"/>
      <c r="F46" s="13">
        <v>12254488.497000007</v>
      </c>
    </row>
    <row r="47" spans="1:6" x14ac:dyDescent="0.2">
      <c r="A47" t="s">
        <v>5</v>
      </c>
      <c r="B47" s="28">
        <v>2000</v>
      </c>
      <c r="C47" s="13"/>
      <c r="D47" s="13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>
        <v>207761900.14000005</v>
      </c>
      <c r="C51" s="13"/>
      <c r="D51" s="13">
        <v>426764688.58000004</v>
      </c>
      <c r="E51" s="13"/>
      <c r="F51" s="13">
        <v>2359209174.5299997</v>
      </c>
    </row>
    <row r="52" spans="1:6" x14ac:dyDescent="0.2">
      <c r="A52" t="s">
        <v>2</v>
      </c>
      <c r="B52" s="13">
        <v>188321748.69</v>
      </c>
      <c r="C52" s="13"/>
      <c r="D52" s="13">
        <v>386651894.09000003</v>
      </c>
      <c r="E52" s="13"/>
      <c r="F52" s="13">
        <v>2139409807.1200001</v>
      </c>
    </row>
    <row r="53" spans="1:6" x14ac:dyDescent="0.2">
      <c r="A53" t="s">
        <v>0</v>
      </c>
      <c r="B53" s="13">
        <v>501105.5</v>
      </c>
      <c r="C53" s="13"/>
      <c r="D53" s="13">
        <v>887373.11</v>
      </c>
      <c r="E53" s="13"/>
      <c r="F53" s="13">
        <v>1956631.41</v>
      </c>
    </row>
    <row r="54" spans="1:6" x14ac:dyDescent="0.2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">
      <c r="A55" t="s">
        <v>31</v>
      </c>
      <c r="B55" s="13">
        <v>18939045.950000048</v>
      </c>
      <c r="C55" s="13"/>
      <c r="D55" s="13">
        <v>39225421.38000001</v>
      </c>
      <c r="E55" s="13"/>
      <c r="F55" s="13">
        <v>218041888.02999961</v>
      </c>
    </row>
    <row r="56" spans="1:6" x14ac:dyDescent="0.2">
      <c r="A56" t="s">
        <v>25</v>
      </c>
      <c r="B56" s="13">
        <v>10416475.272500027</v>
      </c>
      <c r="C56" s="13"/>
      <c r="D56" s="13">
        <v>21573981.759000007</v>
      </c>
      <c r="E56" s="13"/>
      <c r="F56" s="13">
        <v>119923038.41649979</v>
      </c>
    </row>
    <row r="57" spans="1:6" x14ac:dyDescent="0.2">
      <c r="A57" t="s">
        <v>32</v>
      </c>
      <c r="B57" s="13">
        <v>8522570.6775000226</v>
      </c>
      <c r="C57" s="13"/>
      <c r="D57" s="13">
        <v>17651439.621000007</v>
      </c>
      <c r="E57" s="13"/>
      <c r="F57" s="13">
        <v>98118849.613499835</v>
      </c>
    </row>
    <row r="58" spans="1:6" x14ac:dyDescent="0.2">
      <c r="A58" t="s">
        <v>5</v>
      </c>
      <c r="B58" s="31">
        <v>7929</v>
      </c>
    </row>
    <row r="61" spans="1:6" ht="76.5" customHeight="1" x14ac:dyDescent="0.2">
      <c r="A61" s="81" t="s">
        <v>51</v>
      </c>
      <c r="B61" s="81"/>
      <c r="C61" s="81"/>
      <c r="D61" s="81"/>
      <c r="E61" s="81"/>
      <c r="F61" s="81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83"/>
      <c r="B1" s="83"/>
      <c r="C1" s="83"/>
      <c r="D1" s="83"/>
      <c r="E1" s="83"/>
      <c r="F1" s="83"/>
    </row>
    <row r="2" spans="1:6" ht="18" x14ac:dyDescent="0.25">
      <c r="A2" s="77" t="s">
        <v>22</v>
      </c>
      <c r="B2" s="78"/>
      <c r="C2" s="78"/>
      <c r="D2" s="78"/>
      <c r="E2" s="78"/>
      <c r="F2" s="78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">
      <c r="A35" t="s">
        <v>5</v>
      </c>
      <c r="B35" s="31">
        <v>2744</v>
      </c>
      <c r="C35" s="13"/>
      <c r="D35" s="31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75" customHeight="1" x14ac:dyDescent="0.2">
      <c r="A38" s="81" t="s">
        <v>51</v>
      </c>
      <c r="B38" s="81"/>
      <c r="C38" s="81"/>
      <c r="D38" s="81"/>
      <c r="E38" s="81"/>
      <c r="F38" s="81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">
      <c r="A47" t="s">
        <v>5</v>
      </c>
      <c r="B47" s="28">
        <v>2000</v>
      </c>
      <c r="C47" s="13"/>
      <c r="D47" s="28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">
      <c r="A58" t="s">
        <v>5</v>
      </c>
      <c r="B58" s="18">
        <f>SUM(B47,B35,B25,B15)</f>
        <v>7929</v>
      </c>
    </row>
    <row r="61" spans="1:6" ht="76.5" customHeight="1" x14ac:dyDescent="0.2">
      <c r="A61" s="81" t="s">
        <v>51</v>
      </c>
      <c r="B61" s="81"/>
      <c r="C61" s="81"/>
      <c r="D61" s="81"/>
      <c r="E61" s="81"/>
      <c r="F61" s="81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A17" sqref="A17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83"/>
      <c r="B1" s="83"/>
      <c r="C1" s="83"/>
      <c r="D1" s="83"/>
      <c r="E1" s="83"/>
      <c r="F1" s="83"/>
    </row>
    <row r="2" spans="1:6" ht="18" x14ac:dyDescent="0.25">
      <c r="A2" s="77" t="s">
        <v>22</v>
      </c>
      <c r="B2" s="78"/>
      <c r="C2" s="78"/>
      <c r="D2" s="78"/>
      <c r="E2" s="78"/>
      <c r="F2" s="78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">
      <c r="A35" t="s">
        <v>5</v>
      </c>
      <c r="B35" s="31">
        <v>2744</v>
      </c>
      <c r="C35" s="13"/>
      <c r="D35" s="31"/>
      <c r="E35" s="13"/>
      <c r="F35" s="13"/>
    </row>
    <row r="36" spans="1:6" x14ac:dyDescent="0.2">
      <c r="B36" s="13"/>
      <c r="C36" s="13"/>
      <c r="D36" s="13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ht="75.75" customHeight="1" x14ac:dyDescent="0.2">
      <c r="A38" s="81" t="s">
        <v>51</v>
      </c>
      <c r="B38" s="81"/>
      <c r="C38" s="81"/>
      <c r="D38" s="81"/>
      <c r="E38" s="81"/>
      <c r="F38" s="81"/>
    </row>
    <row r="39" spans="1:6" x14ac:dyDescent="0.2">
      <c r="B39" s="13"/>
      <c r="C39" s="13"/>
      <c r="D39" s="13"/>
      <c r="E39" s="13"/>
      <c r="F39" s="13"/>
    </row>
    <row r="40" spans="1:6" x14ac:dyDescent="0.2">
      <c r="A40" s="25" t="s">
        <v>50</v>
      </c>
      <c r="B40" s="13"/>
      <c r="C40" s="13"/>
      <c r="D40" s="13"/>
      <c r="E40" s="13"/>
      <c r="F40" s="13"/>
    </row>
    <row r="41" spans="1:6" x14ac:dyDescent="0.2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">
      <c r="A47" t="s">
        <v>5</v>
      </c>
      <c r="B47" s="28">
        <v>2000</v>
      </c>
      <c r="C47" s="13"/>
      <c r="D47" s="28"/>
      <c r="E47" s="13"/>
      <c r="F47" s="13"/>
    </row>
    <row r="48" spans="1:6" x14ac:dyDescent="0.2">
      <c r="B48" s="13"/>
      <c r="C48" s="13"/>
      <c r="D48" s="13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A50" s="8" t="s">
        <v>6</v>
      </c>
      <c r="B50" s="13"/>
      <c r="C50" s="13"/>
      <c r="D50" s="13"/>
      <c r="E50" s="13"/>
      <c r="F50" s="13"/>
    </row>
    <row r="51" spans="1:6" x14ac:dyDescent="0.2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">
      <c r="A58" t="s">
        <v>5</v>
      </c>
      <c r="B58" s="18">
        <f>SUM(B47,B35,B25,B15)</f>
        <v>7929</v>
      </c>
    </row>
    <row r="61" spans="1:6" ht="76.5" customHeight="1" x14ac:dyDescent="0.2">
      <c r="A61" s="81" t="s">
        <v>51</v>
      </c>
      <c r="B61" s="81"/>
      <c r="C61" s="81"/>
      <c r="D61" s="81"/>
      <c r="E61" s="81"/>
      <c r="F61" s="81"/>
    </row>
    <row r="62" spans="1:6" x14ac:dyDescent="0.2">
      <c r="A62" s="29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</sheetData>
  <mergeCells count="4">
    <mergeCell ref="A1:F1"/>
    <mergeCell ref="A2:F2"/>
    <mergeCell ref="A38:F38"/>
    <mergeCell ref="A61:F61"/>
  </mergeCells>
  <phoneticPr fontId="4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sqref="A1:IV6553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7.28515625" bestFit="1" customWidth="1"/>
  </cols>
  <sheetData>
    <row r="1" spans="1:8" ht="63" customHeight="1" x14ac:dyDescent="0.2">
      <c r="A1" s="83"/>
      <c r="B1" s="83"/>
      <c r="C1" s="83"/>
      <c r="D1" s="83"/>
      <c r="E1" s="83"/>
      <c r="F1" s="83"/>
      <c r="G1" s="83"/>
      <c r="H1" s="83"/>
    </row>
    <row r="2" spans="1:8" ht="18" x14ac:dyDescent="0.25">
      <c r="A2" s="77" t="s">
        <v>22</v>
      </c>
      <c r="B2" s="78"/>
      <c r="C2" s="78"/>
      <c r="D2" s="78"/>
      <c r="E2" s="78"/>
      <c r="F2" s="78"/>
      <c r="G2" s="78"/>
      <c r="H2" s="78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60</v>
      </c>
      <c r="E4" s="10"/>
      <c r="F4" s="16" t="s">
        <v>67</v>
      </c>
      <c r="G4" s="10"/>
      <c r="H4" s="16" t="s">
        <v>28</v>
      </c>
    </row>
    <row r="5" spans="1:8" x14ac:dyDescent="0.2">
      <c r="A5" s="9"/>
      <c r="B5" s="11" t="s">
        <v>66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36607528.049999997</v>
      </c>
      <c r="C8" s="13"/>
      <c r="D8" s="13">
        <v>158341788.71999997</v>
      </c>
      <c r="E8" s="13"/>
      <c r="F8" s="13">
        <v>32555540.390000001</v>
      </c>
      <c r="G8" s="13"/>
      <c r="H8" s="13">
        <v>607863921.08000004</v>
      </c>
    </row>
    <row r="9" spans="1:8" x14ac:dyDescent="0.2">
      <c r="A9" t="s">
        <v>2</v>
      </c>
      <c r="B9" s="13">
        <v>33167430.57</v>
      </c>
      <c r="C9" s="13"/>
      <c r="D9" s="13">
        <v>143303427.35999998</v>
      </c>
      <c r="E9" s="13"/>
      <c r="F9" s="13">
        <v>29486542.299999997</v>
      </c>
      <c r="G9" s="13"/>
      <c r="H9" s="13">
        <v>549468308.13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3440097.48</v>
      </c>
      <c r="C12" s="13"/>
      <c r="D12" s="13">
        <v>15038361.359999999</v>
      </c>
      <c r="E12" s="13"/>
      <c r="F12" s="13">
        <v>3068998.09</v>
      </c>
      <c r="G12" s="13"/>
      <c r="H12" s="13">
        <v>58588354.980000004</v>
      </c>
    </row>
    <row r="13" spans="1:8" x14ac:dyDescent="0.2">
      <c r="A13" t="s">
        <v>25</v>
      </c>
      <c r="B13" s="13">
        <v>1892053.6139999984</v>
      </c>
      <c r="C13" s="13"/>
      <c r="D13" s="13">
        <v>8271098.7480000006</v>
      </c>
      <c r="E13" s="13"/>
      <c r="F13" s="13">
        <v>1687948.9495000001</v>
      </c>
      <c r="G13" s="13"/>
      <c r="H13" s="13">
        <v>32223595.239000004</v>
      </c>
    </row>
    <row r="14" spans="1:8" x14ac:dyDescent="0.2">
      <c r="A14" t="s">
        <v>32</v>
      </c>
      <c r="B14" s="13">
        <v>1548043.8659999985</v>
      </c>
      <c r="C14" s="13"/>
      <c r="D14" s="13">
        <v>6767262.6119999997</v>
      </c>
      <c r="E14" s="13"/>
      <c r="F14" s="13">
        <v>1381049.1405</v>
      </c>
      <c r="G14" s="13"/>
      <c r="H14" s="13">
        <v>26364759.741000004</v>
      </c>
    </row>
    <row r="15" spans="1:8" x14ac:dyDescent="0.2">
      <c r="A15" t="s">
        <v>5</v>
      </c>
      <c r="B15" s="28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63815280.920000002</v>
      </c>
      <c r="C19" s="13"/>
      <c r="D19" s="13">
        <v>249022136.81999999</v>
      </c>
      <c r="E19" s="13"/>
      <c r="F19" s="13">
        <v>57612383.43</v>
      </c>
      <c r="G19" s="13"/>
      <c r="H19" s="13">
        <v>1048195430.1999999</v>
      </c>
    </row>
    <row r="20" spans="1:8" x14ac:dyDescent="0.2">
      <c r="A20" t="s">
        <v>2</v>
      </c>
      <c r="B20" s="13">
        <v>57854955.399999999</v>
      </c>
      <c r="C20" s="13"/>
      <c r="D20" s="13">
        <v>225931492.53</v>
      </c>
      <c r="E20" s="13"/>
      <c r="F20" s="13">
        <v>52238678.159999996</v>
      </c>
      <c r="G20" s="13"/>
      <c r="H20" s="13">
        <v>953894831.59000003</v>
      </c>
    </row>
    <row r="21" spans="1:8" x14ac:dyDescent="0.2">
      <c r="A21" t="s">
        <v>0</v>
      </c>
      <c r="B21" s="13">
        <v>394639.95</v>
      </c>
      <c r="C21" s="13"/>
      <c r="D21" s="13">
        <v>481527.61</v>
      </c>
      <c r="E21" s="13"/>
      <c r="F21" s="13">
        <v>379573.25</v>
      </c>
      <c r="G21" s="13"/>
      <c r="H21" s="13">
        <v>1498034</v>
      </c>
    </row>
    <row r="22" spans="1:8" x14ac:dyDescent="0.2">
      <c r="A22" t="s">
        <v>31</v>
      </c>
      <c r="B22" s="13">
        <v>5565685.5700000031</v>
      </c>
      <c r="C22" s="13"/>
      <c r="D22" s="13">
        <v>22609116.68</v>
      </c>
      <c r="E22" s="13"/>
      <c r="F22" s="13">
        <v>4994132.0199999996</v>
      </c>
      <c r="G22" s="13"/>
      <c r="H22" s="13">
        <v>92802564.609999999</v>
      </c>
    </row>
    <row r="23" spans="1:8" x14ac:dyDescent="0.2">
      <c r="A23" t="s">
        <v>25</v>
      </c>
      <c r="B23" s="13">
        <v>3061127.063500002</v>
      </c>
      <c r="C23" s="13"/>
      <c r="D23" s="13">
        <v>12435014.174000001</v>
      </c>
      <c r="E23" s="13"/>
      <c r="F23" s="13">
        <v>2746772.611</v>
      </c>
      <c r="G23" s="13"/>
      <c r="H23" s="13">
        <v>51041410.535500005</v>
      </c>
    </row>
    <row r="24" spans="1:8" x14ac:dyDescent="0.2">
      <c r="A24" t="s">
        <v>32</v>
      </c>
      <c r="B24" s="13">
        <v>2504558.5065000015</v>
      </c>
      <c r="C24" s="13"/>
      <c r="D24" s="13">
        <v>10174102.506000001</v>
      </c>
      <c r="E24" s="13"/>
      <c r="F24" s="13">
        <v>2247359.409</v>
      </c>
      <c r="G24" s="13"/>
      <c r="H24" s="13">
        <v>41761154.074500002</v>
      </c>
    </row>
    <row r="25" spans="1:8" x14ac:dyDescent="0.2">
      <c r="A25" t="s">
        <v>5</v>
      </c>
      <c r="B25" s="28">
        <v>2076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62765143.119999997</v>
      </c>
      <c r="C29" s="13"/>
      <c r="D29" s="13">
        <v>271361752.49000001</v>
      </c>
      <c r="E29" s="13"/>
      <c r="F29" s="13">
        <v>56260999</v>
      </c>
      <c r="G29" s="13"/>
      <c r="H29" s="13">
        <v>884019208.88</v>
      </c>
    </row>
    <row r="30" spans="1:8" x14ac:dyDescent="0.2">
      <c r="A30" t="s">
        <v>2</v>
      </c>
      <c r="B30" s="13">
        <v>56808921.780000001</v>
      </c>
      <c r="C30" s="13"/>
      <c r="D30" s="13">
        <v>245625386.59999999</v>
      </c>
      <c r="E30" s="13"/>
      <c r="F30" s="13">
        <v>50940082.309999995</v>
      </c>
      <c r="G30" s="13"/>
      <c r="H30" s="13">
        <v>799623798.91999996</v>
      </c>
    </row>
    <row r="31" spans="1:8" x14ac:dyDescent="0.2">
      <c r="A31" t="s">
        <v>0</v>
      </c>
      <c r="B31" s="13">
        <v>254969.09</v>
      </c>
      <c r="C31" s="13"/>
      <c r="D31" s="13">
        <v>1522493.5</v>
      </c>
      <c r="E31" s="13"/>
      <c r="F31" s="13">
        <v>211522</v>
      </c>
      <c r="G31" s="13"/>
      <c r="H31" s="13">
        <v>2077794.75</v>
      </c>
    </row>
    <row r="32" spans="1:8" x14ac:dyDescent="0.2">
      <c r="A32" t="s">
        <v>31</v>
      </c>
      <c r="B32" s="13">
        <v>5701252.2499999963</v>
      </c>
      <c r="C32" s="13"/>
      <c r="D32" s="13">
        <v>24213872.389999989</v>
      </c>
      <c r="E32" s="13"/>
      <c r="F32" s="13">
        <v>5109394.6900000004</v>
      </c>
      <c r="G32" s="13"/>
      <c r="H32" s="13">
        <v>82317615.209999979</v>
      </c>
    </row>
    <row r="33" spans="1:8" x14ac:dyDescent="0.2">
      <c r="A33" t="s">
        <v>25</v>
      </c>
      <c r="B33" s="13">
        <v>3135688.7374999984</v>
      </c>
      <c r="C33" s="13"/>
      <c r="D33" s="13">
        <v>13317629.814499995</v>
      </c>
      <c r="E33" s="13"/>
      <c r="F33" s="13">
        <v>2810167.0795000005</v>
      </c>
      <c r="G33" s="13"/>
      <c r="H33" s="13">
        <v>45274688.365499988</v>
      </c>
    </row>
    <row r="34" spans="1:8" x14ac:dyDescent="0.2">
      <c r="A34" t="s">
        <v>32</v>
      </c>
      <c r="B34" s="13">
        <v>2565563.5124999983</v>
      </c>
      <c r="C34" s="13"/>
      <c r="D34" s="13">
        <v>10896242.575499995</v>
      </c>
      <c r="E34" s="13"/>
      <c r="F34" s="13">
        <v>2299227.6105000004</v>
      </c>
      <c r="G34" s="13"/>
      <c r="H34" s="13">
        <v>37042926.84449999</v>
      </c>
    </row>
    <row r="35" spans="1:8" x14ac:dyDescent="0.2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">
      <c r="B36" s="13"/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ht="75.95" customHeight="1" x14ac:dyDescent="0.2">
      <c r="A38" s="81" t="s">
        <v>51</v>
      </c>
      <c r="B38" s="81"/>
      <c r="C38" s="81"/>
      <c r="D38" s="81"/>
      <c r="E38" s="81"/>
      <c r="F38" s="81"/>
      <c r="G38" s="81"/>
      <c r="H38" s="81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x14ac:dyDescent="0.2">
      <c r="A40" s="25" t="s">
        <v>50</v>
      </c>
      <c r="B40" s="13"/>
      <c r="C40" s="13"/>
      <c r="D40" s="13"/>
      <c r="E40" s="13"/>
      <c r="F40" s="13"/>
      <c r="G40" s="13"/>
      <c r="H40" s="13"/>
    </row>
    <row r="41" spans="1:8" x14ac:dyDescent="0.2">
      <c r="A41" t="s">
        <v>1</v>
      </c>
      <c r="B41" s="13">
        <v>36350715.850000001</v>
      </c>
      <c r="C41" s="13"/>
      <c r="D41" s="13">
        <v>154803453.35999998</v>
      </c>
      <c r="E41" s="13"/>
      <c r="F41" s="13">
        <v>32938421.719999999</v>
      </c>
      <c r="G41" s="13"/>
      <c r="H41" s="13">
        <v>405262401.71999991</v>
      </c>
    </row>
    <row r="42" spans="1:8" x14ac:dyDescent="0.2">
      <c r="A42" t="s">
        <v>2</v>
      </c>
      <c r="B42" s="13">
        <v>33015691.27</v>
      </c>
      <c r="C42" s="13"/>
      <c r="D42" s="13">
        <v>140513392.29999998</v>
      </c>
      <c r="E42" s="13"/>
      <c r="F42" s="13">
        <v>29903170.800000004</v>
      </c>
      <c r="G42" s="13"/>
      <c r="H42" s="13">
        <v>367713146.75000006</v>
      </c>
    </row>
    <row r="43" spans="1:8" x14ac:dyDescent="0.2">
      <c r="A43" t="s">
        <v>0</v>
      </c>
      <c r="B43" s="13">
        <v>134216.6</v>
      </c>
      <c r="C43" s="13"/>
      <c r="D43" s="13">
        <v>78144</v>
      </c>
      <c r="E43" s="13"/>
      <c r="F43" s="13">
        <v>131036.6</v>
      </c>
      <c r="G43" s="13"/>
      <c r="H43" s="13">
        <v>291316.51</v>
      </c>
    </row>
    <row r="44" spans="1:8" x14ac:dyDescent="0.2">
      <c r="A44" t="s">
        <v>31</v>
      </c>
      <c r="B44" s="13">
        <v>3200807.98</v>
      </c>
      <c r="C44" s="13"/>
      <c r="D44" s="13">
        <v>14211917.059999999</v>
      </c>
      <c r="E44" s="13"/>
      <c r="F44" s="13">
        <v>2904214.32</v>
      </c>
      <c r="G44" s="13"/>
      <c r="H44" s="13">
        <v>37257938.460000008</v>
      </c>
    </row>
    <row r="45" spans="1:8" x14ac:dyDescent="0.2">
      <c r="A45" t="s">
        <v>25</v>
      </c>
      <c r="B45" s="13">
        <v>1760444.3890000011</v>
      </c>
      <c r="C45" s="13"/>
      <c r="D45" s="13">
        <v>7816554.3829999994</v>
      </c>
      <c r="E45" s="13"/>
      <c r="F45" s="13">
        <v>1597317.8759999999</v>
      </c>
      <c r="G45" s="13"/>
      <c r="H45" s="13">
        <v>20491866.153000005</v>
      </c>
    </row>
    <row r="46" spans="1:8" x14ac:dyDescent="0.2">
      <c r="A46" t="s">
        <v>32</v>
      </c>
      <c r="B46" s="13">
        <v>1440363.5910000009</v>
      </c>
      <c r="C46" s="13"/>
      <c r="D46" s="13">
        <v>6395362.6769999992</v>
      </c>
      <c r="E46" s="13"/>
      <c r="F46" s="13">
        <v>1306896.4439999999</v>
      </c>
      <c r="G46" s="13"/>
      <c r="H46" s="13">
        <v>16766072.307000004</v>
      </c>
    </row>
    <row r="47" spans="1:8" x14ac:dyDescent="0.2">
      <c r="A47" t="s">
        <v>5</v>
      </c>
      <c r="B47" s="28">
        <v>2000</v>
      </c>
      <c r="C47" s="13"/>
      <c r="D47" s="13"/>
      <c r="E47" s="13"/>
      <c r="F47" s="13"/>
      <c r="G47" s="13"/>
      <c r="H47" s="13"/>
    </row>
    <row r="48" spans="1:8" x14ac:dyDescent="0.2">
      <c r="B48" s="13"/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">
      <c r="A51" t="s">
        <v>1</v>
      </c>
      <c r="B51" s="13">
        <v>199538667.94</v>
      </c>
      <c r="C51" s="13"/>
      <c r="D51" s="13">
        <v>833529131.3900001</v>
      </c>
      <c r="E51" s="13"/>
      <c r="F51" s="13">
        <v>179367344.53999999</v>
      </c>
      <c r="G51" s="13"/>
      <c r="H51" s="13">
        <v>2945340961.8800001</v>
      </c>
    </row>
    <row r="52" spans="1:8" x14ac:dyDescent="0.2">
      <c r="A52" t="s">
        <v>2</v>
      </c>
      <c r="B52" s="13">
        <v>180846999.01999998</v>
      </c>
      <c r="C52" s="13"/>
      <c r="D52" s="13">
        <v>755373698.7900002</v>
      </c>
      <c r="E52" s="13"/>
      <c r="F52" s="13">
        <v>162568473.56999999</v>
      </c>
      <c r="G52" s="13"/>
      <c r="H52" s="13">
        <v>2670700085.3899999</v>
      </c>
    </row>
    <row r="53" spans="1:8" x14ac:dyDescent="0.2">
      <c r="A53" t="s">
        <v>0</v>
      </c>
      <c r="B53" s="13">
        <v>783825.64</v>
      </c>
      <c r="C53" s="13"/>
      <c r="D53" s="13">
        <v>2082165.11</v>
      </c>
      <c r="E53" s="13"/>
      <c r="F53" s="13">
        <v>722131.85</v>
      </c>
      <c r="G53" s="13"/>
      <c r="H53" s="13">
        <v>3873555.26</v>
      </c>
    </row>
    <row r="54" spans="1:8" x14ac:dyDescent="0.2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">
      <c r="A55" t="s">
        <v>31</v>
      </c>
      <c r="B55" s="13">
        <v>17907843.280000016</v>
      </c>
      <c r="C55" s="13"/>
      <c r="D55" s="13">
        <v>76073267.489999995</v>
      </c>
      <c r="E55" s="13"/>
      <c r="F55" s="13">
        <v>16076739.120000003</v>
      </c>
      <c r="G55" s="13"/>
      <c r="H55" s="13">
        <v>270966473.25999999</v>
      </c>
    </row>
    <row r="56" spans="1:8" x14ac:dyDescent="0.2">
      <c r="A56" t="s">
        <v>25</v>
      </c>
      <c r="B56" s="13">
        <v>9849313.8040000089</v>
      </c>
      <c r="C56" s="13"/>
      <c r="D56" s="13">
        <v>41840297.119500004</v>
      </c>
      <c r="E56" s="13"/>
      <c r="F56" s="13">
        <v>8842206.5160000026</v>
      </c>
      <c r="G56" s="13"/>
      <c r="H56" s="13">
        <v>149031560.29300001</v>
      </c>
    </row>
    <row r="57" spans="1:8" x14ac:dyDescent="0.2">
      <c r="A57" t="s">
        <v>32</v>
      </c>
      <c r="B57" s="13">
        <v>8058529.4760000072</v>
      </c>
      <c r="C57" s="13"/>
      <c r="D57" s="13">
        <v>34232970.370499998</v>
      </c>
      <c r="E57" s="13"/>
      <c r="F57" s="13">
        <v>7234532.6040000012</v>
      </c>
      <c r="G57" s="13"/>
      <c r="H57" s="13">
        <v>121934912.96699999</v>
      </c>
    </row>
    <row r="58" spans="1:8" x14ac:dyDescent="0.2">
      <c r="A58" t="s">
        <v>5</v>
      </c>
      <c r="B58" s="26">
        <v>7929</v>
      </c>
    </row>
    <row r="59" spans="1:8" x14ac:dyDescent="0.2">
      <c r="B59" s="28"/>
    </row>
    <row r="61" spans="1:8" ht="76.5" customHeight="1" x14ac:dyDescent="0.2">
      <c r="A61" s="81" t="s">
        <v>51</v>
      </c>
      <c r="B61" s="81"/>
      <c r="C61" s="81"/>
      <c r="D61" s="81"/>
      <c r="E61" s="81"/>
      <c r="F61" s="81"/>
      <c r="G61" s="81"/>
      <c r="H61" s="81"/>
    </row>
    <row r="62" spans="1:8" x14ac:dyDescent="0.2">
      <c r="A62" s="29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</sheetData>
  <mergeCells count="4">
    <mergeCell ref="A1:H1"/>
    <mergeCell ref="A2:H2"/>
    <mergeCell ref="A38:H38"/>
    <mergeCell ref="A61:H61"/>
  </mergeCells>
  <phoneticPr fontId="4" type="noConversion"/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A13" sqref="A1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83"/>
      <c r="B1" s="83"/>
      <c r="C1" s="83"/>
      <c r="D1" s="83"/>
      <c r="E1" s="83"/>
      <c r="F1" s="83"/>
    </row>
    <row r="2" spans="1:6" ht="18" x14ac:dyDescent="0.25">
      <c r="A2" s="77" t="s">
        <v>22</v>
      </c>
      <c r="B2" s="78"/>
      <c r="C2" s="78"/>
      <c r="D2" s="78"/>
      <c r="E2" s="78"/>
      <c r="F2" s="78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">
      <c r="A5" s="9"/>
      <c r="B5" s="11" t="s">
        <v>68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36091241.93</v>
      </c>
      <c r="C8" s="13"/>
      <c r="D8" s="13">
        <v>68646782.319999993</v>
      </c>
      <c r="E8" s="13"/>
      <c r="F8" s="13">
        <v>643955163.00999999</v>
      </c>
    </row>
    <row r="9" spans="1:6" x14ac:dyDescent="0.2">
      <c r="A9" t="s">
        <v>2</v>
      </c>
      <c r="B9" s="13">
        <v>32565696.529999997</v>
      </c>
      <c r="C9" s="13"/>
      <c r="D9" s="13">
        <v>62052238.830000013</v>
      </c>
      <c r="E9" s="13"/>
      <c r="F9" s="13">
        <v>582034004.66000009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3525545.4</v>
      </c>
      <c r="C12" s="13"/>
      <c r="D12" s="13">
        <v>6594543.4900000002</v>
      </c>
      <c r="E12" s="13"/>
      <c r="F12" s="13">
        <v>62113900.380000003</v>
      </c>
    </row>
    <row r="13" spans="1:6" x14ac:dyDescent="0.2">
      <c r="A13" t="s">
        <v>25</v>
      </c>
      <c r="B13" s="13">
        <v>1939049.97</v>
      </c>
      <c r="C13" s="13"/>
      <c r="D13" s="13">
        <v>3626998.9195000003</v>
      </c>
      <c r="E13" s="13"/>
      <c r="F13" s="13">
        <v>34162645.209000006</v>
      </c>
    </row>
    <row r="14" spans="1:6" x14ac:dyDescent="0.2">
      <c r="A14" t="s">
        <v>32</v>
      </c>
      <c r="B14" s="13">
        <v>1586495.43</v>
      </c>
      <c r="C14" s="13"/>
      <c r="D14" s="13">
        <v>2967544.5705000004</v>
      </c>
      <c r="E14" s="13"/>
      <c r="F14" s="13">
        <v>27951255.171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58615363.759999998</v>
      </c>
      <c r="C19" s="13"/>
      <c r="D19" s="13">
        <v>116227747.18999998</v>
      </c>
      <c r="E19" s="13"/>
      <c r="F19" s="13">
        <v>1106810793.96</v>
      </c>
    </row>
    <row r="20" spans="1:6" x14ac:dyDescent="0.2">
      <c r="A20" t="s">
        <v>2</v>
      </c>
      <c r="B20" s="13">
        <v>53322723</v>
      </c>
      <c r="C20" s="13"/>
      <c r="D20" s="13">
        <v>105561401.16</v>
      </c>
      <c r="E20" s="13"/>
      <c r="F20" s="13">
        <v>1007217554.59</v>
      </c>
    </row>
    <row r="21" spans="1:6" x14ac:dyDescent="0.2">
      <c r="A21" t="s">
        <v>0</v>
      </c>
      <c r="B21" s="13">
        <v>314786.25</v>
      </c>
      <c r="C21" s="13"/>
      <c r="D21" s="13">
        <v>694359.5</v>
      </c>
      <c r="E21" s="13"/>
      <c r="F21" s="13">
        <v>1812820.25</v>
      </c>
    </row>
    <row r="22" spans="1:6" x14ac:dyDescent="0.2">
      <c r="A22" t="s">
        <v>31</v>
      </c>
      <c r="B22" s="13">
        <v>4977854.51</v>
      </c>
      <c r="C22" s="13"/>
      <c r="D22" s="13">
        <v>9971986.5300000031</v>
      </c>
      <c r="E22" s="13"/>
      <c r="F22" s="13">
        <v>97780419.120000005</v>
      </c>
    </row>
    <row r="23" spans="1:6" x14ac:dyDescent="0.2">
      <c r="A23" t="s">
        <v>25</v>
      </c>
      <c r="B23" s="13">
        <v>2737819.9804999991</v>
      </c>
      <c r="C23" s="13"/>
      <c r="D23" s="13">
        <v>5484592.591500002</v>
      </c>
      <c r="E23" s="13"/>
      <c r="F23" s="13">
        <v>53779230.51600001</v>
      </c>
    </row>
    <row r="24" spans="1:6" x14ac:dyDescent="0.2">
      <c r="A24" t="s">
        <v>32</v>
      </c>
      <c r="B24" s="13">
        <v>2240034.5294999992</v>
      </c>
      <c r="C24" s="13"/>
      <c r="D24" s="13">
        <v>4487393.9385000011</v>
      </c>
      <c r="E24" s="13"/>
      <c r="F24" s="13">
        <v>44001188.604000002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65403856.980000004</v>
      </c>
      <c r="C29" s="13"/>
      <c r="D29" s="13">
        <v>121664855.97999999</v>
      </c>
      <c r="E29" s="13"/>
      <c r="F29" s="13">
        <v>949423065.86000001</v>
      </c>
    </row>
    <row r="30" spans="1:6" x14ac:dyDescent="0.2">
      <c r="A30" t="s">
        <v>2</v>
      </c>
      <c r="B30" s="13">
        <v>59209090.590000004</v>
      </c>
      <c r="C30" s="13"/>
      <c r="D30" s="13">
        <v>110149172.89999999</v>
      </c>
      <c r="E30" s="13"/>
      <c r="F30" s="13">
        <v>858832889.50999999</v>
      </c>
    </row>
    <row r="31" spans="1:6" x14ac:dyDescent="0.2">
      <c r="A31" t="s">
        <v>0</v>
      </c>
      <c r="B31" s="13">
        <v>557499.75</v>
      </c>
      <c r="C31" s="13"/>
      <c r="D31" s="13">
        <v>769021.75</v>
      </c>
      <c r="E31" s="13"/>
      <c r="F31" s="13">
        <v>2635294.5</v>
      </c>
    </row>
    <row r="32" spans="1:6" x14ac:dyDescent="0.2">
      <c r="A32" t="s">
        <v>30</v>
      </c>
      <c r="B32" s="13">
        <v>10579.57</v>
      </c>
      <c r="C32" s="13"/>
      <c r="D32" s="13">
        <v>10579.57</v>
      </c>
      <c r="E32" s="13"/>
      <c r="F32" s="13">
        <v>10579.57</v>
      </c>
    </row>
    <row r="33" spans="1:6" x14ac:dyDescent="0.2">
      <c r="A33" t="s">
        <v>31</v>
      </c>
      <c r="B33" s="13">
        <v>5647846.21</v>
      </c>
      <c r="C33" s="13"/>
      <c r="D33" s="13">
        <v>10757240.9</v>
      </c>
      <c r="E33" s="13"/>
      <c r="F33" s="13">
        <v>87965461.419999987</v>
      </c>
    </row>
    <row r="34" spans="1:6" x14ac:dyDescent="0.2">
      <c r="A34" t="s">
        <v>25</v>
      </c>
      <c r="B34" s="13">
        <v>3106315.4155000001</v>
      </c>
      <c r="C34" s="13"/>
      <c r="D34" s="13">
        <v>5916482.495000001</v>
      </c>
      <c r="E34" s="13"/>
      <c r="F34" s="13">
        <v>48381003.780999996</v>
      </c>
    </row>
    <row r="35" spans="1:6" x14ac:dyDescent="0.2">
      <c r="A35" t="s">
        <v>32</v>
      </c>
      <c r="B35" s="13">
        <v>2541530.7944999998</v>
      </c>
      <c r="C35" s="13"/>
      <c r="D35" s="13">
        <v>4840758.4050000003</v>
      </c>
      <c r="E35" s="13"/>
      <c r="F35" s="13">
        <v>39584457.638999999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81" t="s">
        <v>51</v>
      </c>
      <c r="B39" s="81"/>
      <c r="C39" s="81"/>
      <c r="D39" s="81"/>
      <c r="E39" s="81"/>
      <c r="F39" s="81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36514600.560000002</v>
      </c>
      <c r="C42" s="13"/>
      <c r="D42" s="13">
        <v>69453022.280000001</v>
      </c>
      <c r="E42" s="13"/>
      <c r="F42" s="13">
        <v>441777002.27999985</v>
      </c>
    </row>
    <row r="43" spans="1:6" x14ac:dyDescent="0.2">
      <c r="A43" t="s">
        <v>2</v>
      </c>
      <c r="B43" s="13">
        <v>33026853.129999999</v>
      </c>
      <c r="C43" s="13"/>
      <c r="D43" s="13">
        <v>62930023.930000007</v>
      </c>
      <c r="E43" s="13"/>
      <c r="F43" s="13">
        <v>400739999.88000005</v>
      </c>
    </row>
    <row r="44" spans="1:6" x14ac:dyDescent="0.2">
      <c r="A44" t="s">
        <v>0</v>
      </c>
      <c r="B44" s="13">
        <v>107951.8</v>
      </c>
      <c r="C44" s="13"/>
      <c r="D44" s="13">
        <v>238988.4</v>
      </c>
      <c r="E44" s="13"/>
      <c r="F44" s="13">
        <v>399268.31</v>
      </c>
    </row>
    <row r="45" spans="1:6" x14ac:dyDescent="0.2">
      <c r="A45" t="s">
        <v>31</v>
      </c>
      <c r="B45" s="13">
        <v>3379795.63</v>
      </c>
      <c r="C45" s="13"/>
      <c r="D45" s="13">
        <v>6284009.9500000011</v>
      </c>
      <c r="E45" s="13"/>
      <c r="F45" s="13">
        <v>40637734.090000011</v>
      </c>
    </row>
    <row r="46" spans="1:6" x14ac:dyDescent="0.2">
      <c r="A46" t="s">
        <v>25</v>
      </c>
      <c r="B46" s="13">
        <v>1858887.5965000005</v>
      </c>
      <c r="C46" s="13"/>
      <c r="D46" s="13">
        <v>3456205.4725000011</v>
      </c>
      <c r="E46" s="13"/>
      <c r="F46" s="13">
        <v>22350753.749500006</v>
      </c>
    </row>
    <row r="47" spans="1:6" x14ac:dyDescent="0.2">
      <c r="A47" t="s">
        <v>32</v>
      </c>
      <c r="B47" s="13">
        <v>1520908.0335000001</v>
      </c>
      <c r="C47" s="13"/>
      <c r="D47" s="13">
        <v>2827804.4775000005</v>
      </c>
      <c r="E47" s="13"/>
      <c r="F47" s="13">
        <v>18286980.340500005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8" t="s">
        <v>6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196625063.23000002</v>
      </c>
      <c r="C52" s="13"/>
      <c r="D52" s="13">
        <v>375992407.76999998</v>
      </c>
      <c r="E52" s="13"/>
      <c r="F52" s="13">
        <v>3141966025.1100001</v>
      </c>
    </row>
    <row r="53" spans="1:6" x14ac:dyDescent="0.2">
      <c r="A53" t="s">
        <v>2</v>
      </c>
      <c r="B53" s="13">
        <v>178124363.25</v>
      </c>
      <c r="C53" s="13"/>
      <c r="D53" s="13">
        <v>340692836.81999999</v>
      </c>
      <c r="E53" s="13"/>
      <c r="F53" s="13">
        <v>2848824448.6399999</v>
      </c>
    </row>
    <row r="54" spans="1:6" x14ac:dyDescent="0.2">
      <c r="A54" t="s">
        <v>0</v>
      </c>
      <c r="B54" s="13">
        <v>980237.8</v>
      </c>
      <c r="C54" s="13"/>
      <c r="D54" s="13">
        <v>1702369.65</v>
      </c>
      <c r="E54" s="13"/>
      <c r="F54" s="13">
        <v>4853793.0599999996</v>
      </c>
    </row>
    <row r="55" spans="1:6" x14ac:dyDescent="0.2">
      <c r="A55" t="s">
        <v>30</v>
      </c>
      <c r="B55" s="13">
        <v>10579.57</v>
      </c>
      <c r="C55" s="13"/>
      <c r="D55" s="13">
        <v>10579.57</v>
      </c>
      <c r="E55" s="13"/>
      <c r="F55" s="13">
        <v>209731.6</v>
      </c>
    </row>
    <row r="56" spans="1:6" x14ac:dyDescent="0.2">
      <c r="A56" t="s">
        <v>31</v>
      </c>
      <c r="B56" s="13">
        <v>17531041.75</v>
      </c>
      <c r="C56" s="13"/>
      <c r="D56" s="13">
        <v>33607780.870000005</v>
      </c>
      <c r="E56" s="13"/>
      <c r="F56" s="13">
        <v>288497515.00999999</v>
      </c>
    </row>
    <row r="57" spans="1:6" x14ac:dyDescent="0.2">
      <c r="A57" t="s">
        <v>25</v>
      </c>
      <c r="B57" s="13">
        <v>9642072.9625000004</v>
      </c>
      <c r="C57" s="13"/>
      <c r="D57" s="13">
        <v>18484279.478500005</v>
      </c>
      <c r="E57" s="13"/>
      <c r="F57" s="13">
        <v>158673633.25550002</v>
      </c>
    </row>
    <row r="58" spans="1:6" x14ac:dyDescent="0.2">
      <c r="A58" t="s">
        <v>32</v>
      </c>
      <c r="B58" s="13">
        <v>7888968.7875000006</v>
      </c>
      <c r="C58" s="13"/>
      <c r="D58" s="13">
        <v>15123501.391500002</v>
      </c>
      <c r="E58" s="13"/>
      <c r="F58" s="13">
        <v>129823881.7545</v>
      </c>
    </row>
    <row r="59" spans="1:6" x14ac:dyDescent="0.2">
      <c r="A59" t="s">
        <v>5</v>
      </c>
      <c r="B59" s="18">
        <f>SUM(B48,B36,B25,B15)</f>
        <v>7929</v>
      </c>
    </row>
    <row r="62" spans="1:6" ht="76.5" customHeight="1" x14ac:dyDescent="0.2">
      <c r="A62" s="81" t="s">
        <v>51</v>
      </c>
      <c r="B62" s="81"/>
      <c r="C62" s="81"/>
      <c r="D62" s="81"/>
      <c r="E62" s="81"/>
      <c r="F62" s="81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F1"/>
    <mergeCell ref="A2:F2"/>
    <mergeCell ref="A39:F39"/>
    <mergeCell ref="A62:F62"/>
  </mergeCells>
  <phoneticPr fontId="4" type="noConversion"/>
  <pageMargins left="0.75" right="0.75" top="1" bottom="1" header="0.5" footer="0.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A26" sqref="A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83"/>
      <c r="B1" s="83"/>
      <c r="C1" s="83"/>
      <c r="D1" s="83"/>
      <c r="E1" s="83"/>
      <c r="F1" s="83"/>
    </row>
    <row r="2" spans="1:6" ht="18" x14ac:dyDescent="0.25">
      <c r="A2" s="77" t="s">
        <v>22</v>
      </c>
      <c r="B2" s="78"/>
      <c r="C2" s="78"/>
      <c r="D2" s="78"/>
      <c r="E2" s="78"/>
      <c r="F2" s="78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">
      <c r="A5" s="9"/>
      <c r="B5" s="11" t="s">
        <v>69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36968692.469999999</v>
      </c>
      <c r="C8" s="13"/>
      <c r="D8" s="13">
        <v>105615474.79000001</v>
      </c>
      <c r="E8" s="13"/>
      <c r="F8" s="13">
        <v>680923855.48000002</v>
      </c>
    </row>
    <row r="9" spans="1:6" x14ac:dyDescent="0.2">
      <c r="A9" t="s">
        <v>2</v>
      </c>
      <c r="B9" s="13">
        <v>33506348.659999996</v>
      </c>
      <c r="C9" s="13"/>
      <c r="D9" s="13">
        <v>95558587.49000001</v>
      </c>
      <c r="E9" s="13"/>
      <c r="F9" s="13">
        <v>615540353.32000005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3462343.81</v>
      </c>
      <c r="C12" s="13"/>
      <c r="D12" s="13">
        <v>10056887.299999999</v>
      </c>
      <c r="E12" s="13"/>
      <c r="F12" s="13">
        <v>65576244.189999998</v>
      </c>
    </row>
    <row r="13" spans="1:6" x14ac:dyDescent="0.2">
      <c r="A13" t="s">
        <v>25</v>
      </c>
      <c r="B13" s="13">
        <v>1904289.0954999996</v>
      </c>
      <c r="C13" s="13"/>
      <c r="D13" s="13">
        <v>5531288.0149999997</v>
      </c>
      <c r="E13" s="13"/>
      <c r="F13" s="13">
        <v>36066934.304499999</v>
      </c>
    </row>
    <row r="14" spans="1:6" x14ac:dyDescent="0.2">
      <c r="A14" t="s">
        <v>32</v>
      </c>
      <c r="B14" s="13">
        <v>1558054.7144999995</v>
      </c>
      <c r="C14" s="13"/>
      <c r="D14" s="13">
        <v>4525599.2849999992</v>
      </c>
      <c r="E14" s="13"/>
      <c r="F14" s="13">
        <v>29509309.885499999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63334148.480000004</v>
      </c>
      <c r="C19" s="13"/>
      <c r="D19" s="13">
        <v>179561895.66999999</v>
      </c>
      <c r="E19" s="13"/>
      <c r="F19" s="13">
        <v>1170144942.4400001</v>
      </c>
    </row>
    <row r="20" spans="1:6" x14ac:dyDescent="0.2">
      <c r="A20" t="s">
        <v>2</v>
      </c>
      <c r="B20" s="13">
        <v>57601219.620000005</v>
      </c>
      <c r="C20" s="13"/>
      <c r="D20" s="13">
        <v>163162620.78</v>
      </c>
      <c r="E20" s="13"/>
      <c r="F20" s="13">
        <v>1064818774.21</v>
      </c>
    </row>
    <row r="21" spans="1:6" x14ac:dyDescent="0.2">
      <c r="A21" t="s">
        <v>0</v>
      </c>
      <c r="B21" s="13">
        <v>443391</v>
      </c>
      <c r="C21" s="13"/>
      <c r="D21" s="13">
        <v>1137750.5</v>
      </c>
      <c r="E21" s="13"/>
      <c r="F21" s="13">
        <v>2256211.25</v>
      </c>
    </row>
    <row r="22" spans="1:6" x14ac:dyDescent="0.2">
      <c r="A22" t="s">
        <v>31</v>
      </c>
      <c r="B22" s="13">
        <v>5289537.8600000003</v>
      </c>
      <c r="C22" s="13"/>
      <c r="D22" s="13">
        <v>15261524.390000001</v>
      </c>
      <c r="E22" s="13"/>
      <c r="F22" s="13">
        <v>103069956.98</v>
      </c>
    </row>
    <row r="23" spans="1:6" x14ac:dyDescent="0.2">
      <c r="A23" t="s">
        <v>25</v>
      </c>
      <c r="B23" s="13">
        <v>2909245.8229999989</v>
      </c>
      <c r="C23" s="13"/>
      <c r="D23" s="13">
        <v>8393838.4145000018</v>
      </c>
      <c r="E23" s="13"/>
      <c r="F23" s="13">
        <v>56688476.339000009</v>
      </c>
    </row>
    <row r="24" spans="1:6" x14ac:dyDescent="0.2">
      <c r="A24" t="s">
        <v>32</v>
      </c>
      <c r="B24" s="13">
        <v>2380292.0369999991</v>
      </c>
      <c r="C24" s="13"/>
      <c r="D24" s="13">
        <v>6867685.9755000006</v>
      </c>
      <c r="E24" s="13"/>
      <c r="F24" s="13">
        <v>46381480.641000003</v>
      </c>
    </row>
    <row r="25" spans="1:6" x14ac:dyDescent="0.2">
      <c r="A25" t="s">
        <v>5</v>
      </c>
      <c r="B25" s="28">
        <v>2076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67685515.030000001</v>
      </c>
      <c r="C29" s="13"/>
      <c r="D29" s="13">
        <v>189350371.01000002</v>
      </c>
      <c r="E29" s="13"/>
      <c r="F29" s="13">
        <v>1017108580.89</v>
      </c>
    </row>
    <row r="30" spans="1:6" x14ac:dyDescent="0.2">
      <c r="A30" t="s">
        <v>2</v>
      </c>
      <c r="B30" s="13">
        <v>61411202.479999989</v>
      </c>
      <c r="C30" s="13"/>
      <c r="D30" s="13">
        <v>171560375.38</v>
      </c>
      <c r="E30" s="13"/>
      <c r="F30" s="13">
        <v>920244091.99000001</v>
      </c>
    </row>
    <row r="31" spans="1:6" x14ac:dyDescent="0.2">
      <c r="A31" t="s">
        <v>0</v>
      </c>
      <c r="B31" s="13">
        <v>530631.24</v>
      </c>
      <c r="C31" s="13"/>
      <c r="D31" s="13">
        <v>1299652.99</v>
      </c>
      <c r="E31" s="13"/>
      <c r="F31" s="13">
        <v>3165925.74</v>
      </c>
    </row>
    <row r="32" spans="1:6" x14ac:dyDescent="0.2">
      <c r="A32" t="s">
        <v>30</v>
      </c>
      <c r="B32" s="13">
        <v>0</v>
      </c>
      <c r="C32" s="13"/>
      <c r="D32" s="13">
        <v>10579.57</v>
      </c>
      <c r="E32" s="13"/>
      <c r="F32" s="13">
        <v>10579.57</v>
      </c>
    </row>
    <row r="33" spans="1:6" x14ac:dyDescent="0.2">
      <c r="A33" t="s">
        <v>31</v>
      </c>
      <c r="B33" s="13">
        <v>5743681.3100000005</v>
      </c>
      <c r="C33" s="13"/>
      <c r="D33" s="13">
        <v>16500922.210000001</v>
      </c>
      <c r="E33" s="13"/>
      <c r="F33" s="13">
        <v>93709142.729999989</v>
      </c>
    </row>
    <row r="34" spans="1:6" x14ac:dyDescent="0.2">
      <c r="A34" t="s">
        <v>25</v>
      </c>
      <c r="B34" s="13">
        <v>3159024.7205000008</v>
      </c>
      <c r="C34" s="13"/>
      <c r="D34" s="13">
        <v>9075507.2155000009</v>
      </c>
      <c r="E34" s="13"/>
      <c r="F34" s="13">
        <v>51540028.501499996</v>
      </c>
    </row>
    <row r="35" spans="1:6" x14ac:dyDescent="0.2">
      <c r="A35" t="s">
        <v>32</v>
      </c>
      <c r="B35" s="13">
        <v>2584656.5895000002</v>
      </c>
      <c r="C35" s="13"/>
      <c r="D35" s="13">
        <v>7425414.994500001</v>
      </c>
      <c r="E35" s="13"/>
      <c r="F35" s="13">
        <v>42169114.228499994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81" t="s">
        <v>51</v>
      </c>
      <c r="B39" s="81"/>
      <c r="C39" s="81"/>
      <c r="D39" s="81"/>
      <c r="E39" s="81"/>
      <c r="F39" s="81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36684246.32</v>
      </c>
      <c r="C42" s="13"/>
      <c r="D42" s="13">
        <v>106137268.59999999</v>
      </c>
      <c r="E42" s="13"/>
      <c r="F42" s="13">
        <v>478461248.5999999</v>
      </c>
    </row>
    <row r="43" spans="1:6" x14ac:dyDescent="0.2">
      <c r="A43" t="s">
        <v>2</v>
      </c>
      <c r="B43" s="13">
        <v>33291343.25</v>
      </c>
      <c r="C43" s="13"/>
      <c r="D43" s="13">
        <v>96221367.180000007</v>
      </c>
      <c r="E43" s="13"/>
      <c r="F43" s="13">
        <v>434031343.13000005</v>
      </c>
    </row>
    <row r="44" spans="1:6" x14ac:dyDescent="0.2">
      <c r="A44" t="s">
        <v>0</v>
      </c>
      <c r="B44" s="13">
        <v>70357.850000000006</v>
      </c>
      <c r="C44" s="13"/>
      <c r="D44" s="13">
        <v>309346.25</v>
      </c>
      <c r="E44" s="13"/>
      <c r="F44" s="13">
        <v>469626.16</v>
      </c>
    </row>
    <row r="45" spans="1:6" x14ac:dyDescent="0.2">
      <c r="A45" t="s">
        <v>31</v>
      </c>
      <c r="B45" s="13">
        <v>3322545.22</v>
      </c>
      <c r="C45" s="13"/>
      <c r="D45" s="13">
        <v>9606555.1699999999</v>
      </c>
      <c r="E45" s="13"/>
      <c r="F45" s="13">
        <v>43960279.31000001</v>
      </c>
    </row>
    <row r="46" spans="1:6" x14ac:dyDescent="0.2">
      <c r="A46" t="s">
        <v>25</v>
      </c>
      <c r="B46" s="13">
        <v>1827399.871</v>
      </c>
      <c r="C46" s="13"/>
      <c r="D46" s="13">
        <v>5283605.3435000004</v>
      </c>
      <c r="E46" s="13"/>
      <c r="F46" s="13">
        <v>24178153.620500006</v>
      </c>
    </row>
    <row r="47" spans="1:6" x14ac:dyDescent="0.2">
      <c r="A47" t="s">
        <v>32</v>
      </c>
      <c r="B47" s="13">
        <v>1495145.3489999999</v>
      </c>
      <c r="C47" s="13"/>
      <c r="D47" s="13">
        <v>4322949.8265000004</v>
      </c>
      <c r="E47" s="13"/>
      <c r="F47" s="13">
        <v>19782125.689500004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8" t="s">
        <v>6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204672602.29999998</v>
      </c>
      <c r="C52" s="13"/>
      <c r="D52" s="13">
        <v>580665010.07000005</v>
      </c>
      <c r="E52" s="13"/>
      <c r="F52" s="13">
        <v>3346638627.4100003</v>
      </c>
    </row>
    <row r="53" spans="1:6" x14ac:dyDescent="0.2">
      <c r="A53" t="s">
        <v>2</v>
      </c>
      <c r="B53" s="13">
        <v>185810114.00999999</v>
      </c>
      <c r="C53" s="13"/>
      <c r="D53" s="13">
        <v>526502950.82999998</v>
      </c>
      <c r="E53" s="13"/>
      <c r="F53" s="13">
        <v>3034634562.6499996</v>
      </c>
    </row>
    <row r="54" spans="1:6" x14ac:dyDescent="0.2">
      <c r="A54" t="s">
        <v>0</v>
      </c>
      <c r="B54" s="13">
        <v>1044380.09</v>
      </c>
      <c r="C54" s="13"/>
      <c r="D54" s="13">
        <v>2746749.74</v>
      </c>
      <c r="E54" s="13"/>
      <c r="F54" s="13">
        <v>5898173.1500000004</v>
      </c>
    </row>
    <row r="55" spans="1:6" x14ac:dyDescent="0.2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">
      <c r="A56" t="s">
        <v>31</v>
      </c>
      <c r="B56" s="13">
        <v>17818108.199999999</v>
      </c>
      <c r="C56" s="13"/>
      <c r="D56" s="13">
        <v>51425889.07</v>
      </c>
      <c r="E56" s="13"/>
      <c r="F56" s="13">
        <v>306315623.20999998</v>
      </c>
    </row>
    <row r="57" spans="1:6" x14ac:dyDescent="0.2">
      <c r="A57" t="s">
        <v>25</v>
      </c>
      <c r="B57" s="13">
        <v>9799959.5099999998</v>
      </c>
      <c r="C57" s="13"/>
      <c r="D57" s="13">
        <v>28284238.988500003</v>
      </c>
      <c r="E57" s="13"/>
      <c r="F57" s="13">
        <v>168473592.76550001</v>
      </c>
    </row>
    <row r="58" spans="1:6" x14ac:dyDescent="0.2">
      <c r="A58" t="s">
        <v>32</v>
      </c>
      <c r="B58" s="13">
        <v>8018148.6899999995</v>
      </c>
      <c r="C58" s="13"/>
      <c r="D58" s="13">
        <v>23141650.081500001</v>
      </c>
      <c r="E58" s="13"/>
      <c r="F58" s="13">
        <v>137842030.4445</v>
      </c>
    </row>
    <row r="59" spans="1:6" x14ac:dyDescent="0.2">
      <c r="A59" t="s">
        <v>5</v>
      </c>
      <c r="B59" s="18">
        <f>SUM(B48,B36,B25,B15)</f>
        <v>7929</v>
      </c>
    </row>
    <row r="62" spans="1:6" ht="76.5" customHeight="1" x14ac:dyDescent="0.2">
      <c r="A62" s="81" t="s">
        <v>51</v>
      </c>
      <c r="B62" s="81"/>
      <c r="C62" s="81"/>
      <c r="D62" s="81"/>
      <c r="E62" s="81"/>
      <c r="F62" s="81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F1"/>
    <mergeCell ref="A2:F2"/>
    <mergeCell ref="A39:F39"/>
    <mergeCell ref="A62:F62"/>
  </mergeCells>
  <phoneticPr fontId="4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3.42578125" style="1" bestFit="1" customWidth="1"/>
  </cols>
  <sheetData>
    <row r="1" spans="1:7" ht="60.75" customHeight="1" x14ac:dyDescent="0.2">
      <c r="A1" s="76"/>
      <c r="B1" s="76"/>
      <c r="C1" s="76"/>
      <c r="D1" s="76"/>
      <c r="E1" s="76"/>
      <c r="F1" s="76"/>
    </row>
    <row r="2" spans="1:7" ht="26.25" customHeight="1" x14ac:dyDescent="0.25">
      <c r="A2" s="77" t="s">
        <v>22</v>
      </c>
      <c r="B2" s="78"/>
      <c r="C2" s="78"/>
      <c r="D2" s="78"/>
      <c r="E2" s="78"/>
      <c r="F2" s="78"/>
    </row>
    <row r="3" spans="1:7" ht="26.25" customHeight="1" x14ac:dyDescent="0.2"/>
    <row r="4" spans="1:7" x14ac:dyDescent="0.2">
      <c r="B4" s="10"/>
      <c r="C4" s="10"/>
      <c r="D4" s="12" t="s">
        <v>14</v>
      </c>
      <c r="E4" s="10"/>
      <c r="F4" s="12" t="s">
        <v>13</v>
      </c>
    </row>
    <row r="5" spans="1:7" x14ac:dyDescent="0.2">
      <c r="A5" s="9"/>
      <c r="B5" s="9" t="s">
        <v>12</v>
      </c>
      <c r="C5" s="9"/>
      <c r="D5" s="11" t="s">
        <v>11</v>
      </c>
      <c r="F5" s="11" t="s">
        <v>8</v>
      </c>
      <c r="G5" s="2"/>
    </row>
    <row r="7" spans="1:7" x14ac:dyDescent="0.2">
      <c r="A7" s="8" t="s">
        <v>3</v>
      </c>
      <c r="B7" s="8"/>
      <c r="C7" s="8"/>
    </row>
    <row r="8" spans="1:7" x14ac:dyDescent="0.2">
      <c r="A8" t="s">
        <v>1</v>
      </c>
      <c r="B8" s="13">
        <v>35882697.799999997</v>
      </c>
      <c r="D8" s="13">
        <v>37140222.809999995</v>
      </c>
      <c r="F8" s="13">
        <v>37140222.809999995</v>
      </c>
    </row>
    <row r="9" spans="1:7" x14ac:dyDescent="0.2">
      <c r="A9" t="s">
        <v>2</v>
      </c>
      <c r="B9" s="13">
        <v>32146438.700000003</v>
      </c>
      <c r="D9" s="13">
        <v>33308914.230000004</v>
      </c>
      <c r="F9" s="13">
        <v>33308914.230000004</v>
      </c>
    </row>
    <row r="10" spans="1:7" x14ac:dyDescent="0.2">
      <c r="A10" t="s">
        <v>0</v>
      </c>
      <c r="B10" s="13">
        <v>0</v>
      </c>
      <c r="D10" s="13">
        <v>0</v>
      </c>
      <c r="F10" s="13">
        <v>0</v>
      </c>
    </row>
    <row r="11" spans="1:7" x14ac:dyDescent="0.2">
      <c r="A11" t="s">
        <v>31</v>
      </c>
      <c r="B11" s="13">
        <f>+B8-B9-B10</f>
        <v>3736259.099999994</v>
      </c>
      <c r="D11" s="13">
        <f>+D8-D9-D10</f>
        <v>3831308.5799999908</v>
      </c>
      <c r="F11" s="13">
        <f>+F8-F9-F10</f>
        <v>3831308.5799999908</v>
      </c>
      <c r="G11" s="21"/>
    </row>
    <row r="12" spans="1:7" x14ac:dyDescent="0.2">
      <c r="A12" t="s">
        <v>25</v>
      </c>
      <c r="B12" s="13">
        <v>2054942.5049999969</v>
      </c>
      <c r="D12" s="13">
        <v>2107219.7189999949</v>
      </c>
      <c r="F12" s="13">
        <v>2107219.7189999949</v>
      </c>
      <c r="G12" s="22"/>
    </row>
    <row r="13" spans="1:7" x14ac:dyDescent="0.2">
      <c r="A13" t="s">
        <v>32</v>
      </c>
      <c r="B13" s="13">
        <v>1681316.5949999974</v>
      </c>
      <c r="D13" s="13">
        <v>1724088.8609999958</v>
      </c>
      <c r="F13" s="13">
        <v>1724088.8609999958</v>
      </c>
      <c r="G13" s="22"/>
    </row>
    <row r="14" spans="1:7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F1"/>
    <mergeCell ref="A2:F2"/>
  </mergeCells>
  <phoneticPr fontId="4" type="noConversion"/>
  <pageMargins left="0.75" right="0.75" top="1" bottom="1" header="0.5" footer="0.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workbookViewId="0">
      <selection activeCell="A26" sqref="A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8.140625" bestFit="1" customWidth="1"/>
    <col min="9" max="9" width="17" bestFit="1" customWidth="1"/>
  </cols>
  <sheetData>
    <row r="1" spans="1:8" ht="63" customHeight="1" x14ac:dyDescent="0.2">
      <c r="A1" s="83"/>
      <c r="B1" s="83"/>
      <c r="C1" s="83"/>
      <c r="D1" s="83"/>
      <c r="E1" s="83"/>
      <c r="F1" s="83"/>
      <c r="G1" s="83"/>
      <c r="H1" s="83"/>
    </row>
    <row r="2" spans="1:8" ht="18" x14ac:dyDescent="0.25">
      <c r="A2" s="77" t="s">
        <v>22</v>
      </c>
      <c r="B2" s="78"/>
      <c r="C2" s="78"/>
      <c r="D2" s="78"/>
      <c r="E2" s="78"/>
      <c r="F2" s="78"/>
      <c r="G2" s="78"/>
      <c r="H2" s="78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72</v>
      </c>
      <c r="E4" s="10"/>
      <c r="F4" s="16" t="s">
        <v>78</v>
      </c>
      <c r="G4" s="10"/>
      <c r="H4" s="16" t="s">
        <v>28</v>
      </c>
    </row>
    <row r="5" spans="1:8" x14ac:dyDescent="0.2">
      <c r="A5" s="9"/>
      <c r="B5" s="11" t="s">
        <v>77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40578319.260000005</v>
      </c>
      <c r="C8" s="13"/>
      <c r="D8" s="13">
        <v>171751837.72999999</v>
      </c>
      <c r="E8" s="13"/>
      <c r="F8" s="13">
        <v>7794876.3399999999</v>
      </c>
      <c r="G8" s="13"/>
      <c r="H8" s="13">
        <v>911946147.8900001</v>
      </c>
    </row>
    <row r="9" spans="1:8" x14ac:dyDescent="0.2">
      <c r="A9" t="s">
        <v>2</v>
      </c>
      <c r="B9" s="13">
        <v>37045387.390000001</v>
      </c>
      <c r="C9" s="13"/>
      <c r="D9" s="13">
        <v>156783342.38</v>
      </c>
      <c r="E9" s="13"/>
      <c r="F9" s="13">
        <v>7131565.3200000003</v>
      </c>
      <c r="G9" s="13"/>
      <c r="H9" s="13">
        <v>826073565.42000008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v>3532931.87</v>
      </c>
      <c r="C12" s="13"/>
      <c r="D12" s="13">
        <v>14968495.350000007</v>
      </c>
      <c r="E12" s="13"/>
      <c r="F12" s="13">
        <v>663311.02</v>
      </c>
      <c r="G12" s="13"/>
      <c r="H12" s="13">
        <v>86065324.5</v>
      </c>
    </row>
    <row r="13" spans="1:8" x14ac:dyDescent="0.2">
      <c r="A13" t="s">
        <v>25</v>
      </c>
      <c r="B13" s="13">
        <v>1943112.5285000028</v>
      </c>
      <c r="C13" s="13"/>
      <c r="D13" s="13">
        <v>8232672.4425000045</v>
      </c>
      <c r="E13" s="13"/>
      <c r="F13" s="13">
        <v>364821.06100000005</v>
      </c>
      <c r="G13" s="13"/>
      <c r="H13" s="13">
        <v>47335928.475000001</v>
      </c>
    </row>
    <row r="14" spans="1:8" x14ac:dyDescent="0.2">
      <c r="A14" t="s">
        <v>32</v>
      </c>
      <c r="B14" s="13">
        <v>1589819.3415000022</v>
      </c>
      <c r="C14" s="13"/>
      <c r="D14" s="13">
        <v>6735822.9075000035</v>
      </c>
      <c r="E14" s="13"/>
      <c r="F14" s="13">
        <v>298489.95900000003</v>
      </c>
      <c r="G14" s="13"/>
      <c r="H14" s="13">
        <v>38729396.024999999</v>
      </c>
    </row>
    <row r="15" spans="1:8" x14ac:dyDescent="0.2">
      <c r="A15" t="s">
        <v>5</v>
      </c>
      <c r="B15" s="28">
        <v>1203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69302127.980000004</v>
      </c>
      <c r="C19" s="13"/>
      <c r="D19" s="13">
        <v>293336599.66999996</v>
      </c>
      <c r="E19" s="13"/>
      <c r="F19" s="13">
        <v>13856777.279999999</v>
      </c>
      <c r="G19" s="13"/>
      <c r="H19" s="13">
        <v>1566896164.55</v>
      </c>
    </row>
    <row r="20" spans="1:8" x14ac:dyDescent="0.2">
      <c r="A20" t="s">
        <v>2</v>
      </c>
      <c r="B20" s="13">
        <v>63477015.989999995</v>
      </c>
      <c r="C20" s="13"/>
      <c r="D20" s="13">
        <v>267981369.97999999</v>
      </c>
      <c r="E20" s="13"/>
      <c r="F20" s="13">
        <v>12739010.560000001</v>
      </c>
      <c r="G20" s="13"/>
      <c r="H20" s="13">
        <v>1427286509.4200001</v>
      </c>
    </row>
    <row r="21" spans="1:8" x14ac:dyDescent="0.2">
      <c r="A21" t="s">
        <v>0</v>
      </c>
      <c r="B21" s="13">
        <v>350707.47</v>
      </c>
      <c r="C21" s="13"/>
      <c r="D21" s="13">
        <v>1547800.26</v>
      </c>
      <c r="E21" s="13"/>
      <c r="F21" s="13">
        <v>144226.74</v>
      </c>
      <c r="G21" s="13"/>
      <c r="H21" s="13">
        <v>4263015.8899999997</v>
      </c>
    </row>
    <row r="22" spans="1:8" x14ac:dyDescent="0.2">
      <c r="A22" t="s">
        <v>31</v>
      </c>
      <c r="B22" s="13">
        <v>5474404.5200000098</v>
      </c>
      <c r="C22" s="13"/>
      <c r="D22" s="13">
        <v>23807429.430000003</v>
      </c>
      <c r="E22" s="13"/>
      <c r="F22" s="13">
        <v>973539.97999999882</v>
      </c>
      <c r="G22" s="13"/>
      <c r="H22" s="13">
        <v>135346639.24000001</v>
      </c>
    </row>
    <row r="23" spans="1:8" x14ac:dyDescent="0.2">
      <c r="A23" t="s">
        <v>25</v>
      </c>
      <c r="B23" s="13">
        <v>3010922.4860000056</v>
      </c>
      <c r="C23" s="13"/>
      <c r="D23" s="13">
        <v>13094086.186500004</v>
      </c>
      <c r="E23" s="13"/>
      <c r="F23" s="13">
        <v>535446.98899999936</v>
      </c>
      <c r="G23" s="13"/>
      <c r="H23" s="13">
        <v>74440651.582000017</v>
      </c>
    </row>
    <row r="24" spans="1:8" x14ac:dyDescent="0.2">
      <c r="A24" t="s">
        <v>32</v>
      </c>
      <c r="B24" s="13">
        <v>2463482.0340000046</v>
      </c>
      <c r="C24" s="13"/>
      <c r="D24" s="13">
        <v>10713343.243500002</v>
      </c>
      <c r="E24" s="13"/>
      <c r="F24" s="13">
        <v>438092.99099999946</v>
      </c>
      <c r="G24" s="13"/>
      <c r="H24" s="13">
        <v>60905987.658000007</v>
      </c>
    </row>
    <row r="25" spans="1:8" x14ac:dyDescent="0.2">
      <c r="A25" t="s">
        <v>5</v>
      </c>
      <c r="B25" s="28">
        <v>2231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73995237.25</v>
      </c>
      <c r="C29" s="13"/>
      <c r="D29" s="13">
        <v>300270365.11000001</v>
      </c>
      <c r="E29" s="13"/>
      <c r="F29" s="13">
        <v>15119623.58</v>
      </c>
      <c r="G29" s="13"/>
      <c r="H29" s="13">
        <v>1437938743.0900002</v>
      </c>
    </row>
    <row r="30" spans="1:8" x14ac:dyDescent="0.2">
      <c r="A30" t="s">
        <v>2</v>
      </c>
      <c r="B30" s="13">
        <v>67438433.549999997</v>
      </c>
      <c r="C30" s="13"/>
      <c r="D30" s="13">
        <v>272887165.88</v>
      </c>
      <c r="E30" s="13"/>
      <c r="F30" s="13">
        <v>13687474.92</v>
      </c>
      <c r="G30" s="13"/>
      <c r="H30" s="13">
        <v>1302563854.3499999</v>
      </c>
    </row>
    <row r="31" spans="1:8" x14ac:dyDescent="0.2">
      <c r="A31" t="s">
        <v>0</v>
      </c>
      <c r="B31" s="13">
        <v>624089.56999999995</v>
      </c>
      <c r="C31" s="13"/>
      <c r="D31" s="13">
        <v>2291314.06</v>
      </c>
      <c r="E31" s="13"/>
      <c r="F31" s="13">
        <v>187602.8</v>
      </c>
      <c r="G31" s="13"/>
      <c r="H31" s="13">
        <v>6823153.4899999993</v>
      </c>
    </row>
    <row r="32" spans="1:8" x14ac:dyDescent="0.2">
      <c r="A32" t="s">
        <v>30</v>
      </c>
      <c r="B32" s="13">
        <v>0</v>
      </c>
      <c r="C32" s="13"/>
      <c r="D32" s="13">
        <v>0</v>
      </c>
      <c r="E32" s="13"/>
      <c r="F32" s="13">
        <v>0</v>
      </c>
      <c r="G32" s="13"/>
      <c r="H32" s="13">
        <v>10579.57</v>
      </c>
    </row>
    <row r="33" spans="1:8" x14ac:dyDescent="0.2">
      <c r="A33" t="s">
        <v>31</v>
      </c>
      <c r="B33" s="13">
        <v>5932714.1300000027</v>
      </c>
      <c r="C33" s="13"/>
      <c r="D33" s="13">
        <v>25091885.170000006</v>
      </c>
      <c r="E33" s="13"/>
      <c r="F33" s="13">
        <v>1244545.8600000001</v>
      </c>
      <c r="G33" s="13"/>
      <c r="H33" s="13">
        <v>128562314.81999999</v>
      </c>
    </row>
    <row r="34" spans="1:8" x14ac:dyDescent="0.2">
      <c r="A34" t="s">
        <v>25</v>
      </c>
      <c r="B34" s="13">
        <v>3262992.7715000017</v>
      </c>
      <c r="C34" s="13"/>
      <c r="D34" s="13">
        <v>13800536.843500003</v>
      </c>
      <c r="E34" s="13"/>
      <c r="F34" s="13">
        <v>684500.22300000011</v>
      </c>
      <c r="G34" s="13"/>
      <c r="H34" s="13">
        <v>70709273.151000008</v>
      </c>
    </row>
    <row r="35" spans="1:8" x14ac:dyDescent="0.2">
      <c r="A35" t="s">
        <v>32</v>
      </c>
      <c r="B35" s="13">
        <v>2669721.3585000015</v>
      </c>
      <c r="C35" s="13"/>
      <c r="D35" s="13">
        <v>11291348.326500002</v>
      </c>
      <c r="E35" s="13"/>
      <c r="F35" s="13">
        <v>560045.6370000001</v>
      </c>
      <c r="G35" s="13"/>
      <c r="H35" s="13">
        <v>57853041.669</v>
      </c>
    </row>
    <row r="36" spans="1:8" x14ac:dyDescent="0.2">
      <c r="A36" t="s">
        <v>5</v>
      </c>
      <c r="B36" s="26">
        <v>2735</v>
      </c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ht="75.95" customHeight="1" x14ac:dyDescent="0.2">
      <c r="A39" s="81" t="s">
        <v>51</v>
      </c>
      <c r="B39" s="81"/>
      <c r="C39" s="81"/>
      <c r="D39" s="81"/>
      <c r="E39" s="81"/>
      <c r="F39" s="81"/>
      <c r="G39" s="81"/>
      <c r="H39" s="81"/>
    </row>
    <row r="40" spans="1:8" x14ac:dyDescent="0.2">
      <c r="B40" s="13"/>
      <c r="C40" s="13"/>
      <c r="D40" s="13"/>
      <c r="E40" s="13"/>
      <c r="F40" s="13"/>
      <c r="G40" s="13"/>
      <c r="H40" s="13"/>
    </row>
    <row r="41" spans="1:8" x14ac:dyDescent="0.2">
      <c r="A41" s="25" t="s">
        <v>50</v>
      </c>
      <c r="B41" s="13"/>
      <c r="C41" s="13"/>
      <c r="D41" s="13"/>
      <c r="E41" s="13"/>
      <c r="F41" s="13"/>
      <c r="G41" s="13"/>
      <c r="H41" s="13"/>
    </row>
    <row r="42" spans="1:8" x14ac:dyDescent="0.2">
      <c r="A42" t="s">
        <v>1</v>
      </c>
      <c r="B42" s="13">
        <v>33805419.039999999</v>
      </c>
      <c r="C42" s="13"/>
      <c r="D42" s="13">
        <v>146867020.45000002</v>
      </c>
      <c r="E42" s="13"/>
      <c r="F42" s="13">
        <v>6096986.1500000004</v>
      </c>
      <c r="G42" s="13"/>
      <c r="H42" s="13">
        <v>683797476.54999995</v>
      </c>
    </row>
    <row r="43" spans="1:8" x14ac:dyDescent="0.2">
      <c r="A43" t="s">
        <v>2</v>
      </c>
      <c r="B43" s="13">
        <v>30597706.260000002</v>
      </c>
      <c r="C43" s="13"/>
      <c r="D43" s="13">
        <v>132886211.48</v>
      </c>
      <c r="E43" s="13"/>
      <c r="F43" s="13">
        <v>5788000.1100000003</v>
      </c>
      <c r="G43" s="13"/>
      <c r="H43" s="13">
        <v>620131949.93000007</v>
      </c>
    </row>
    <row r="44" spans="1:8" x14ac:dyDescent="0.2">
      <c r="A44" t="s">
        <v>0</v>
      </c>
      <c r="B44" s="13">
        <v>87177.45</v>
      </c>
      <c r="C44" s="13"/>
      <c r="D44" s="13">
        <v>296363.65999999997</v>
      </c>
      <c r="E44" s="13"/>
      <c r="F44" s="13">
        <v>10622.84</v>
      </c>
      <c r="G44" s="13"/>
      <c r="H44" s="13">
        <v>854497.91</v>
      </c>
    </row>
    <row r="45" spans="1:8" x14ac:dyDescent="0.2">
      <c r="A45" t="s">
        <v>31</v>
      </c>
      <c r="B45" s="13">
        <v>3120535.33</v>
      </c>
      <c r="C45" s="13"/>
      <c r="D45" s="13">
        <v>13684445.309999999</v>
      </c>
      <c r="E45" s="13"/>
      <c r="F45" s="13">
        <v>298363.2</v>
      </c>
      <c r="G45" s="13"/>
      <c r="H45" s="13">
        <v>62811028.710000008</v>
      </c>
    </row>
    <row r="46" spans="1:8" x14ac:dyDescent="0.2">
      <c r="A46" t="s">
        <v>25</v>
      </c>
      <c r="B46" s="13">
        <v>1716294.4314999986</v>
      </c>
      <c r="C46" s="13"/>
      <c r="D46" s="13">
        <v>7526444.9205</v>
      </c>
      <c r="E46" s="13"/>
      <c r="F46" s="13">
        <v>164099.76</v>
      </c>
      <c r="G46" s="13"/>
      <c r="H46" s="13">
        <v>34546065.790500008</v>
      </c>
    </row>
    <row r="47" spans="1:8" x14ac:dyDescent="0.2">
      <c r="A47" t="s">
        <v>32</v>
      </c>
      <c r="B47" s="13">
        <v>1404240.8984999987</v>
      </c>
      <c r="C47" s="13"/>
      <c r="D47" s="13">
        <v>6158000.3894999996</v>
      </c>
      <c r="E47" s="13"/>
      <c r="F47" s="13">
        <v>134263.44</v>
      </c>
      <c r="G47" s="13"/>
      <c r="H47" s="13">
        <v>28264962.919500005</v>
      </c>
    </row>
    <row r="48" spans="1:8" x14ac:dyDescent="0.2">
      <c r="A48" t="s">
        <v>5</v>
      </c>
      <c r="B48" s="28">
        <v>2000</v>
      </c>
      <c r="C48" s="13"/>
      <c r="D48" s="13"/>
      <c r="E48" s="13"/>
      <c r="F48" s="13"/>
      <c r="G48" s="13"/>
      <c r="H48" s="13"/>
    </row>
    <row r="49" spans="1:9" x14ac:dyDescent="0.2">
      <c r="B49" s="13"/>
      <c r="C49" s="13"/>
      <c r="D49" s="13"/>
      <c r="E49" s="13"/>
      <c r="F49" s="13"/>
      <c r="G49" s="13"/>
      <c r="H49" s="13"/>
    </row>
    <row r="50" spans="1:9" x14ac:dyDescent="0.2">
      <c r="B50" s="13"/>
      <c r="C50" s="13"/>
      <c r="D50" s="13"/>
      <c r="E50" s="13"/>
      <c r="F50" s="13"/>
      <c r="G50" s="13"/>
      <c r="H50" s="13"/>
    </row>
    <row r="51" spans="1:9" x14ac:dyDescent="0.2">
      <c r="A51" s="25" t="s">
        <v>74</v>
      </c>
      <c r="B51" s="13"/>
      <c r="C51" s="13"/>
      <c r="D51" s="13"/>
      <c r="E51" s="13"/>
      <c r="F51" s="13"/>
      <c r="G51" s="13"/>
      <c r="H51" s="13"/>
    </row>
    <row r="52" spans="1:9" x14ac:dyDescent="0.2">
      <c r="A52" t="s">
        <v>1</v>
      </c>
      <c r="B52" s="13">
        <v>54729707.120000005</v>
      </c>
      <c r="C52" s="13"/>
      <c r="D52" s="13">
        <v>167257764.39000002</v>
      </c>
      <c r="E52" s="13"/>
      <c r="F52" s="13">
        <v>10367567.779999999</v>
      </c>
      <c r="G52" s="13"/>
      <c r="H52" s="13">
        <v>177625332.17000002</v>
      </c>
    </row>
    <row r="53" spans="1:9" x14ac:dyDescent="0.2">
      <c r="A53" t="s">
        <v>2</v>
      </c>
      <c r="B53" s="13">
        <v>50381278.119999997</v>
      </c>
      <c r="C53" s="13"/>
      <c r="D53" s="13">
        <v>153851601.53000003</v>
      </c>
      <c r="E53" s="13"/>
      <c r="F53" s="13">
        <v>9610668.2899999991</v>
      </c>
      <c r="G53" s="13"/>
      <c r="H53" s="13">
        <v>163462269.82000002</v>
      </c>
    </row>
    <row r="54" spans="1:9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0</v>
      </c>
    </row>
    <row r="55" spans="1:9" x14ac:dyDescent="0.2">
      <c r="A55" t="s">
        <v>31</v>
      </c>
      <c r="B55" s="13">
        <v>4348429.0000000075</v>
      </c>
      <c r="C55" s="13"/>
      <c r="D55" s="13">
        <v>13406162.859999998</v>
      </c>
      <c r="E55" s="13"/>
      <c r="F55" s="13">
        <v>756899.49</v>
      </c>
      <c r="G55" s="13"/>
      <c r="H55" s="13">
        <v>14163062.349999998</v>
      </c>
    </row>
    <row r="56" spans="1:9" x14ac:dyDescent="0.2">
      <c r="A56" t="s">
        <v>25</v>
      </c>
      <c r="B56" s="13">
        <v>2391635.9500000002</v>
      </c>
      <c r="C56" s="13"/>
      <c r="D56" s="13">
        <v>7373389.5729999989</v>
      </c>
      <c r="E56" s="13"/>
      <c r="F56" s="13">
        <v>416294.71950000001</v>
      </c>
      <c r="G56" s="13"/>
      <c r="H56" s="13">
        <v>7789684.2924999995</v>
      </c>
    </row>
    <row r="57" spans="1:9" x14ac:dyDescent="0.2">
      <c r="A57" t="s">
        <v>32</v>
      </c>
      <c r="B57" s="13">
        <v>1956793.05</v>
      </c>
      <c r="C57" s="13"/>
      <c r="D57" s="13">
        <v>6032773.2869999986</v>
      </c>
      <c r="E57" s="13"/>
      <c r="F57" s="13">
        <v>340604.77049999998</v>
      </c>
      <c r="G57" s="13"/>
      <c r="H57" s="13">
        <v>6373378.0574999992</v>
      </c>
    </row>
    <row r="58" spans="1:9" x14ac:dyDescent="0.2">
      <c r="A58" t="s">
        <v>5</v>
      </c>
      <c r="B58" s="28">
        <v>1738</v>
      </c>
      <c r="C58" s="13"/>
      <c r="D58" s="13"/>
      <c r="E58" s="13"/>
      <c r="F58" s="13"/>
      <c r="G58" s="13"/>
      <c r="H58" s="13"/>
    </row>
    <row r="59" spans="1:9" x14ac:dyDescent="0.2">
      <c r="B59" s="13"/>
      <c r="C59" s="13"/>
      <c r="D59" s="13"/>
      <c r="E59" s="13"/>
      <c r="F59" s="13"/>
      <c r="G59" s="13"/>
      <c r="H59" s="13"/>
      <c r="I59" s="13"/>
    </row>
    <row r="60" spans="1:9" x14ac:dyDescent="0.2"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A61" s="8" t="s">
        <v>6</v>
      </c>
      <c r="B61" s="13"/>
      <c r="C61" s="13"/>
      <c r="D61" s="13"/>
      <c r="E61" s="13"/>
      <c r="F61" s="13"/>
      <c r="G61" s="13"/>
      <c r="H61" s="13"/>
    </row>
    <row r="62" spans="1:9" ht="13.5" x14ac:dyDescent="0.25">
      <c r="A62" t="s">
        <v>1</v>
      </c>
      <c r="B62" s="13">
        <v>272410810.64999998</v>
      </c>
      <c r="C62" s="13"/>
      <c r="D62" s="13">
        <v>1079483587.3499999</v>
      </c>
      <c r="E62" s="13"/>
      <c r="F62" s="13">
        <v>53235831.129999995</v>
      </c>
      <c r="G62" s="13"/>
      <c r="H62" s="30">
        <v>4778203864.25</v>
      </c>
    </row>
    <row r="63" spans="1:9" ht="13.5" x14ac:dyDescent="0.25">
      <c r="A63" t="s">
        <v>2</v>
      </c>
      <c r="B63" s="13">
        <v>248939821.31</v>
      </c>
      <c r="C63" s="13"/>
      <c r="D63" s="13">
        <v>984389691.25000012</v>
      </c>
      <c r="E63" s="13"/>
      <c r="F63" s="13">
        <v>48956719.200000003</v>
      </c>
      <c r="G63" s="13"/>
      <c r="H63" s="30">
        <v>4339518148.9399996</v>
      </c>
    </row>
    <row r="64" spans="1:9" ht="13.5" x14ac:dyDescent="0.25">
      <c r="A64" t="s">
        <v>0</v>
      </c>
      <c r="B64" s="13">
        <v>1061974.49</v>
      </c>
      <c r="C64" s="13"/>
      <c r="D64" s="13">
        <v>4135477.98</v>
      </c>
      <c r="E64" s="13"/>
      <c r="F64" s="13">
        <v>342452.38</v>
      </c>
      <c r="G64" s="13"/>
      <c r="H64" s="30">
        <v>11947077.289999999</v>
      </c>
    </row>
    <row r="65" spans="1:9" ht="13.5" x14ac:dyDescent="0.25">
      <c r="A65" t="s">
        <v>30</v>
      </c>
      <c r="B65" s="13">
        <v>0</v>
      </c>
      <c r="C65" s="13"/>
      <c r="D65" s="13">
        <v>0</v>
      </c>
      <c r="E65" s="13"/>
      <c r="F65" s="13">
        <v>0</v>
      </c>
      <c r="G65" s="13"/>
      <c r="H65" s="30">
        <v>209731.6</v>
      </c>
    </row>
    <row r="66" spans="1:9" ht="13.5" x14ac:dyDescent="0.25">
      <c r="A66" t="s">
        <v>31</v>
      </c>
      <c r="B66" s="13">
        <v>22409014.849999972</v>
      </c>
      <c r="C66" s="13"/>
      <c r="D66" s="13">
        <v>90958418.120000005</v>
      </c>
      <c r="E66" s="13"/>
      <c r="F66" s="13">
        <v>3936659.55</v>
      </c>
      <c r="G66" s="13"/>
      <c r="H66" s="30">
        <v>426948369.62</v>
      </c>
    </row>
    <row r="67" spans="1:9" x14ac:dyDescent="0.2">
      <c r="A67" t="s">
        <v>25</v>
      </c>
      <c r="B67" s="13">
        <v>12324958.167499986</v>
      </c>
      <c r="C67" s="13"/>
      <c r="D67" s="13">
        <v>50027129.966000006</v>
      </c>
      <c r="E67" s="13"/>
      <c r="F67" s="13">
        <v>2165162.7524999999</v>
      </c>
      <c r="G67" s="13"/>
      <c r="H67" s="13">
        <f>H66*0.55</f>
        <v>234821603.29100001</v>
      </c>
    </row>
    <row r="68" spans="1:9" x14ac:dyDescent="0.2">
      <c r="A68" t="s">
        <v>32</v>
      </c>
      <c r="B68" s="13">
        <v>10084056.682499988</v>
      </c>
      <c r="C68" s="13"/>
      <c r="D68" s="13">
        <v>40931288.154000007</v>
      </c>
      <c r="E68" s="13"/>
      <c r="F68" s="13">
        <v>1771496.7974999999</v>
      </c>
      <c r="G68" s="13"/>
      <c r="H68" s="13">
        <f>H66*0.45</f>
        <v>192126766.329</v>
      </c>
    </row>
    <row r="69" spans="1:9" x14ac:dyDescent="0.2">
      <c r="A69" t="s">
        <v>5</v>
      </c>
      <c r="B69" s="26">
        <v>9907</v>
      </c>
      <c r="I69" s="13"/>
    </row>
    <row r="70" spans="1:9" x14ac:dyDescent="0.2">
      <c r="B70" s="28"/>
      <c r="H70" s="13"/>
    </row>
    <row r="72" spans="1:9" ht="76.5" customHeight="1" x14ac:dyDescent="0.2">
      <c r="A72" s="81" t="s">
        <v>51</v>
      </c>
      <c r="B72" s="81"/>
      <c r="C72" s="81"/>
      <c r="D72" s="81"/>
      <c r="E72" s="81"/>
      <c r="F72" s="81"/>
      <c r="G72" s="81"/>
      <c r="H72" s="81"/>
    </row>
    <row r="73" spans="1:9" x14ac:dyDescent="0.2">
      <c r="A73" s="29"/>
    </row>
    <row r="74" spans="1:9" x14ac:dyDescent="0.2">
      <c r="A74" s="29"/>
    </row>
    <row r="75" spans="1:9" x14ac:dyDescent="0.2">
      <c r="A75" s="29"/>
    </row>
    <row r="76" spans="1:9" x14ac:dyDescent="0.2">
      <c r="A76" s="29"/>
    </row>
  </sheetData>
  <mergeCells count="4">
    <mergeCell ref="A1:H1"/>
    <mergeCell ref="A2:H2"/>
    <mergeCell ref="A39:H39"/>
    <mergeCell ref="A72:H72"/>
  </mergeCells>
  <phoneticPr fontId="4" type="noConversion"/>
  <pageMargins left="0.75" right="0.75" top="1" bottom="1" header="0.5" footer="0.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opLeftCell="A49" workbookViewId="0">
      <selection activeCell="F37" sqref="F37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7" bestFit="1" customWidth="1"/>
  </cols>
  <sheetData>
    <row r="1" spans="1:6" ht="63" customHeight="1" x14ac:dyDescent="0.2">
      <c r="A1" s="83"/>
      <c r="B1" s="83"/>
      <c r="C1" s="83"/>
      <c r="D1" s="83"/>
      <c r="E1" s="83"/>
      <c r="F1" s="83"/>
    </row>
    <row r="2" spans="1:6" ht="18" x14ac:dyDescent="0.25">
      <c r="A2" s="77" t="s">
        <v>22</v>
      </c>
      <c r="B2" s="78"/>
      <c r="C2" s="78"/>
      <c r="D2" s="78"/>
      <c r="E2" s="78"/>
      <c r="F2" s="78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">
      <c r="A5" s="9"/>
      <c r="B5" s="11" t="s">
        <v>76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41315689.899999999</v>
      </c>
      <c r="C8" s="13"/>
      <c r="D8" s="13">
        <v>138968394.81</v>
      </c>
      <c r="E8" s="13"/>
      <c r="F8" s="13">
        <v>871367828.63000011</v>
      </c>
    </row>
    <row r="9" spans="1:6" x14ac:dyDescent="0.2">
      <c r="A9" t="s">
        <v>2</v>
      </c>
      <c r="B9" s="13">
        <v>37828653.609999999</v>
      </c>
      <c r="C9" s="13"/>
      <c r="D9" s="13">
        <v>126869520.31000002</v>
      </c>
      <c r="E9" s="13"/>
      <c r="F9" s="13">
        <v>789028178.03000009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3487036.29</v>
      </c>
      <c r="C12" s="13"/>
      <c r="D12" s="13">
        <v>12098874.500000004</v>
      </c>
      <c r="E12" s="13"/>
      <c r="F12" s="13">
        <v>82532392.629999995</v>
      </c>
    </row>
    <row r="13" spans="1:6" x14ac:dyDescent="0.2">
      <c r="A13" t="s">
        <v>25</v>
      </c>
      <c r="B13" s="13">
        <v>1917869.9594999996</v>
      </c>
      <c r="C13" s="13"/>
      <c r="D13" s="13">
        <v>6654380.9750000024</v>
      </c>
      <c r="E13" s="13"/>
      <c r="F13" s="13">
        <v>45392815.946500003</v>
      </c>
    </row>
    <row r="14" spans="1:6" x14ac:dyDescent="0.2">
      <c r="A14" t="s">
        <v>32</v>
      </c>
      <c r="B14" s="13">
        <v>1569166.3304999997</v>
      </c>
      <c r="C14" s="13"/>
      <c r="D14" s="13">
        <v>5444493.5250000022</v>
      </c>
      <c r="E14" s="13"/>
      <c r="F14" s="13">
        <v>37139576.683499999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66100751.770000003</v>
      </c>
      <c r="C19" s="13"/>
      <c r="D19" s="13">
        <v>237891248.96999994</v>
      </c>
      <c r="E19" s="13"/>
      <c r="F19" s="13">
        <v>1497594036.5699999</v>
      </c>
    </row>
    <row r="20" spans="1:6" x14ac:dyDescent="0.2">
      <c r="A20" t="s">
        <v>2</v>
      </c>
      <c r="B20" s="13">
        <v>60466035.019999996</v>
      </c>
      <c r="C20" s="13"/>
      <c r="D20" s="13">
        <v>217243364.55000001</v>
      </c>
      <c r="E20" s="13"/>
      <c r="F20" s="13">
        <v>1363809493.4300001</v>
      </c>
    </row>
    <row r="21" spans="1:6" x14ac:dyDescent="0.2">
      <c r="A21" t="s">
        <v>0</v>
      </c>
      <c r="B21" s="13">
        <v>281623.17</v>
      </c>
      <c r="C21" s="13"/>
      <c r="D21" s="13">
        <v>1341319.53</v>
      </c>
      <c r="E21" s="13"/>
      <c r="F21" s="13">
        <v>3912308.42</v>
      </c>
    </row>
    <row r="22" spans="1:6" x14ac:dyDescent="0.2">
      <c r="A22" t="s">
        <v>31</v>
      </c>
      <c r="B22" s="13">
        <v>5353093.5800000075</v>
      </c>
      <c r="C22" s="13"/>
      <c r="D22" s="13">
        <v>19306564.890000004</v>
      </c>
      <c r="E22" s="13"/>
      <c r="F22" s="13">
        <v>129872234.72000001</v>
      </c>
    </row>
    <row r="23" spans="1:6" x14ac:dyDescent="0.2">
      <c r="A23" t="s">
        <v>25</v>
      </c>
      <c r="B23" s="13">
        <v>2944201.4690000042</v>
      </c>
      <c r="C23" s="13"/>
      <c r="D23" s="13">
        <v>10618610.689500004</v>
      </c>
      <c r="E23" s="13"/>
      <c r="F23" s="13">
        <v>71429729.096000016</v>
      </c>
    </row>
    <row r="24" spans="1:6" x14ac:dyDescent="0.2">
      <c r="A24" t="s">
        <v>32</v>
      </c>
      <c r="B24" s="13">
        <v>2408892.1110000033</v>
      </c>
      <c r="C24" s="13"/>
      <c r="D24" s="13">
        <v>8687954.2005000021</v>
      </c>
      <c r="E24" s="13"/>
      <c r="F24" s="13">
        <v>58442505.624000005</v>
      </c>
    </row>
    <row r="25" spans="1:6" x14ac:dyDescent="0.2">
      <c r="A25" t="s">
        <v>5</v>
      </c>
      <c r="B25" s="28">
        <v>2231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68076743.319999993</v>
      </c>
      <c r="C29" s="13"/>
      <c r="D29" s="13">
        <v>241394751.44000003</v>
      </c>
      <c r="E29" s="13"/>
      <c r="F29" s="13">
        <v>1363943505.8400002</v>
      </c>
    </row>
    <row r="30" spans="1:6" x14ac:dyDescent="0.2">
      <c r="A30" t="s">
        <v>2</v>
      </c>
      <c r="B30" s="13">
        <v>61843454.449999996</v>
      </c>
      <c r="C30" s="13"/>
      <c r="D30" s="13">
        <v>219136207.25</v>
      </c>
      <c r="E30" s="13"/>
      <c r="F30" s="13">
        <v>1235125420.8</v>
      </c>
    </row>
    <row r="31" spans="1:6" x14ac:dyDescent="0.2">
      <c r="A31" t="s">
        <v>0</v>
      </c>
      <c r="B31" s="13">
        <v>585050.92000000004</v>
      </c>
      <c r="C31" s="13"/>
      <c r="D31" s="13">
        <v>1854827.29</v>
      </c>
      <c r="E31" s="13"/>
      <c r="F31" s="13">
        <v>6199063.9199999999</v>
      </c>
    </row>
    <row r="32" spans="1:6" x14ac:dyDescent="0.2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>
        <v>5648237.9499999974</v>
      </c>
      <c r="C33" s="13"/>
      <c r="D33" s="13">
        <v>20403716.900000002</v>
      </c>
      <c r="E33" s="13"/>
      <c r="F33" s="13">
        <v>122629600.69</v>
      </c>
    </row>
    <row r="34" spans="1:6" x14ac:dyDescent="0.2">
      <c r="A34" t="s">
        <v>25</v>
      </c>
      <c r="B34" s="13">
        <v>3106530.8724999987</v>
      </c>
      <c r="C34" s="13"/>
      <c r="D34" s="13">
        <v>11222044.295000002</v>
      </c>
      <c r="E34" s="13"/>
      <c r="F34" s="13">
        <v>67446280.379500002</v>
      </c>
    </row>
    <row r="35" spans="1:6" x14ac:dyDescent="0.2">
      <c r="A35" t="s">
        <v>32</v>
      </c>
      <c r="B35" s="13">
        <v>2541707.0774999987</v>
      </c>
      <c r="C35" s="13"/>
      <c r="D35" s="13">
        <v>9181672.6050000004</v>
      </c>
      <c r="E35" s="13"/>
      <c r="F35" s="13">
        <v>55183320.310500003</v>
      </c>
    </row>
    <row r="36" spans="1:6" x14ac:dyDescent="0.2">
      <c r="A36" t="s">
        <v>5</v>
      </c>
      <c r="B36" s="31">
        <v>2735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81" t="s">
        <v>51</v>
      </c>
      <c r="B39" s="81"/>
      <c r="C39" s="81"/>
      <c r="D39" s="81"/>
      <c r="E39" s="81"/>
      <c r="F39" s="81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34487262.740000002</v>
      </c>
      <c r="C42" s="13"/>
      <c r="D42" s="13">
        <v>119158587.56000002</v>
      </c>
      <c r="E42" s="13"/>
      <c r="F42" s="13">
        <v>649992057.50999999</v>
      </c>
    </row>
    <row r="43" spans="1:6" x14ac:dyDescent="0.2">
      <c r="A43" t="s">
        <v>2</v>
      </c>
      <c r="B43" s="13">
        <v>31222779.75</v>
      </c>
      <c r="C43" s="13"/>
      <c r="D43" s="13">
        <v>108076505.33000001</v>
      </c>
      <c r="E43" s="13"/>
      <c r="F43" s="13">
        <v>589534243.67000008</v>
      </c>
    </row>
    <row r="44" spans="1:6" x14ac:dyDescent="0.2">
      <c r="A44" t="s">
        <v>0</v>
      </c>
      <c r="B44" s="13">
        <v>99002.55</v>
      </c>
      <c r="C44" s="13"/>
      <c r="D44" s="13">
        <v>219809.05</v>
      </c>
      <c r="E44" s="13"/>
      <c r="F44" s="13">
        <v>767320.46</v>
      </c>
    </row>
    <row r="45" spans="1:6" x14ac:dyDescent="0.2">
      <c r="A45" t="s">
        <v>31</v>
      </c>
      <c r="B45" s="13">
        <v>3165480.44</v>
      </c>
      <c r="C45" s="13"/>
      <c r="D45" s="13">
        <v>10862273.18</v>
      </c>
      <c r="E45" s="13"/>
      <c r="F45" s="13">
        <v>59690493.380000003</v>
      </c>
    </row>
    <row r="46" spans="1:6" x14ac:dyDescent="0.2">
      <c r="A46" t="s">
        <v>25</v>
      </c>
      <c r="B46" s="13">
        <v>1741014.2420000015</v>
      </c>
      <c r="C46" s="13"/>
      <c r="D46" s="13">
        <v>5974250.2490000008</v>
      </c>
      <c r="E46" s="13"/>
      <c r="F46" s="13">
        <v>32829771.359000005</v>
      </c>
    </row>
    <row r="47" spans="1:6" x14ac:dyDescent="0.2">
      <c r="A47" t="s">
        <v>32</v>
      </c>
      <c r="B47" s="13">
        <v>1424466.198000001</v>
      </c>
      <c r="C47" s="13"/>
      <c r="D47" s="13">
        <v>4888022.9309999999</v>
      </c>
      <c r="E47" s="13"/>
      <c r="F47" s="13">
        <v>26860722.021000002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56345807.789999999</v>
      </c>
      <c r="C52" s="13"/>
      <c r="D52" s="13">
        <v>122895625.05000001</v>
      </c>
      <c r="E52" s="13"/>
      <c r="F52" s="13">
        <v>122895625.05000001</v>
      </c>
    </row>
    <row r="53" spans="1:7" x14ac:dyDescent="0.2">
      <c r="A53" t="s">
        <v>2</v>
      </c>
      <c r="B53" s="13">
        <v>51752897.579999998</v>
      </c>
      <c r="C53" s="13"/>
      <c r="D53" s="13">
        <v>113080991.7</v>
      </c>
      <c r="E53" s="13"/>
      <c r="F53" s="13">
        <v>113080991.7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4592910.21</v>
      </c>
      <c r="C55" s="13"/>
      <c r="D55" s="13">
        <v>9814633.3499999996</v>
      </c>
      <c r="E55" s="13"/>
      <c r="F55" s="13">
        <v>9814633.3499999996</v>
      </c>
    </row>
    <row r="56" spans="1:7" x14ac:dyDescent="0.2">
      <c r="A56" t="s">
        <v>25</v>
      </c>
      <c r="B56" s="13">
        <v>2526100.6155000008</v>
      </c>
      <c r="C56" s="13"/>
      <c r="D56" s="13">
        <v>5398048.3425000003</v>
      </c>
      <c r="E56" s="13"/>
      <c r="F56" s="13">
        <v>5398048.3425000003</v>
      </c>
    </row>
    <row r="57" spans="1:7" x14ac:dyDescent="0.2">
      <c r="A57" t="s">
        <v>32</v>
      </c>
      <c r="B57" s="13">
        <v>2066809.5945000004</v>
      </c>
      <c r="C57" s="13"/>
      <c r="D57" s="13">
        <v>4416585.0075000003</v>
      </c>
      <c r="E57" s="13"/>
      <c r="F57" s="13">
        <v>4416585.0075000003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266326255.52000001</v>
      </c>
      <c r="C62" s="13"/>
      <c r="D62" s="13">
        <v>860308607.82999992</v>
      </c>
      <c r="E62" s="13"/>
      <c r="F62" s="13">
        <v>4505793053.6000004</v>
      </c>
    </row>
    <row r="63" spans="1:7" x14ac:dyDescent="0.2">
      <c r="A63" t="s">
        <v>2</v>
      </c>
      <c r="B63" s="13">
        <v>243113820.41000003</v>
      </c>
      <c r="C63" s="13"/>
      <c r="D63" s="13">
        <v>784406589.14000022</v>
      </c>
      <c r="E63" s="13"/>
      <c r="F63" s="13">
        <v>4090578327.6300001</v>
      </c>
    </row>
    <row r="64" spans="1:7" x14ac:dyDescent="0.2">
      <c r="A64" t="s">
        <v>0</v>
      </c>
      <c r="B64" s="13">
        <v>965676.64</v>
      </c>
      <c r="C64" s="13"/>
      <c r="D64" s="13">
        <v>3415955.87</v>
      </c>
      <c r="E64" s="13"/>
      <c r="F64" s="13">
        <v>10885102.800000001</v>
      </c>
    </row>
    <row r="65" spans="1:6" x14ac:dyDescent="0.2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">
      <c r="A66" t="s">
        <v>31</v>
      </c>
      <c r="B66" s="13">
        <v>22246758.469999984</v>
      </c>
      <c r="C66" s="13"/>
      <c r="D66" s="13">
        <v>72486062.820000008</v>
      </c>
      <c r="E66" s="13"/>
      <c r="F66" s="13">
        <v>404539354.77000004</v>
      </c>
    </row>
    <row r="67" spans="1:6" x14ac:dyDescent="0.2">
      <c r="A67" t="s">
        <v>25</v>
      </c>
      <c r="B67" s="13">
        <v>12235717.158499992</v>
      </c>
      <c r="C67" s="13"/>
      <c r="D67" s="13">
        <v>39867334.551000006</v>
      </c>
      <c r="E67" s="13"/>
      <c r="F67" s="13">
        <v>222496645.12350005</v>
      </c>
    </row>
    <row r="68" spans="1:6" x14ac:dyDescent="0.2">
      <c r="A68" t="s">
        <v>32</v>
      </c>
      <c r="B68" s="13">
        <v>10011041.311499992</v>
      </c>
      <c r="C68" s="13"/>
      <c r="D68" s="13">
        <v>32618728.269000005</v>
      </c>
      <c r="E68" s="13"/>
      <c r="F68" s="13">
        <v>182042709.64650002</v>
      </c>
    </row>
    <row r="69" spans="1:6" x14ac:dyDescent="0.2">
      <c r="A69" t="s">
        <v>5</v>
      </c>
      <c r="B69" s="18">
        <f>B58+B48+B36+B25+B15</f>
        <v>9907</v>
      </c>
    </row>
    <row r="70" spans="1:6" x14ac:dyDescent="0.2">
      <c r="F70" s="13"/>
    </row>
    <row r="72" spans="1:6" ht="76.5" customHeight="1" x14ac:dyDescent="0.2">
      <c r="A72" s="81" t="s">
        <v>51</v>
      </c>
      <c r="B72" s="81"/>
      <c r="C72" s="81"/>
      <c r="D72" s="81"/>
      <c r="E72" s="81"/>
      <c r="F72" s="81"/>
    </row>
    <row r="73" spans="1:6" x14ac:dyDescent="0.2">
      <c r="A73" s="29"/>
    </row>
    <row r="74" spans="1:6" x14ac:dyDescent="0.2">
      <c r="A74" s="29"/>
    </row>
    <row r="75" spans="1:6" x14ac:dyDescent="0.2">
      <c r="A75" s="29"/>
    </row>
    <row r="76" spans="1:6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B3" sqref="B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83"/>
      <c r="B1" s="83"/>
      <c r="C1" s="83"/>
      <c r="D1" s="83"/>
      <c r="E1" s="83"/>
      <c r="F1" s="83"/>
    </row>
    <row r="2" spans="1:6" ht="18" x14ac:dyDescent="0.25">
      <c r="A2" s="77" t="s">
        <v>22</v>
      </c>
      <c r="B2" s="78"/>
      <c r="C2" s="78"/>
      <c r="D2" s="78"/>
      <c r="E2" s="78"/>
      <c r="F2" s="78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79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61803021.690000013</v>
      </c>
      <c r="E8" s="13"/>
      <c r="F8" s="13">
        <v>965954293.24000013</v>
      </c>
    </row>
    <row r="9" spans="1:6" x14ac:dyDescent="0.2">
      <c r="A9" t="s">
        <v>2</v>
      </c>
      <c r="B9" s="13" t="e">
        <f>SUM(#REF!)</f>
        <v>#REF!</v>
      </c>
      <c r="C9" s="13"/>
      <c r="D9" s="13">
        <v>56327841.080000006</v>
      </c>
      <c r="E9" s="13"/>
      <c r="F9" s="13">
        <v>875269841.18000007</v>
      </c>
    </row>
    <row r="10" spans="1:6" x14ac:dyDescent="0.2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5475180.6100000013</v>
      </c>
      <c r="E12" s="13"/>
      <c r="F12" s="13">
        <v>90877194.090000004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3011349.335500001</v>
      </c>
      <c r="E13" s="13"/>
      <c r="F13" s="13">
        <f>F12*0.55</f>
        <v>49982456.749500006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2463831.2745000008</v>
      </c>
      <c r="E14" s="13"/>
      <c r="F14" s="13">
        <f>F12*0.45</f>
        <v>40894737.340500005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98660795.629999995</v>
      </c>
      <c r="E19" s="13"/>
      <c r="F19" s="13">
        <v>1651700182.9000001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90211193.909999996</v>
      </c>
      <c r="E20" s="13"/>
      <c r="F20" s="13">
        <v>1504758692.7700002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677517.85</v>
      </c>
      <c r="E21" s="13"/>
      <c r="F21" s="13">
        <v>4796307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7772083.8699999982</v>
      </c>
      <c r="E22" s="13"/>
      <c r="F22" s="13">
        <v>142145183.13000003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4274646.1284999996</v>
      </c>
      <c r="E23" s="13"/>
      <c r="F23" s="13">
        <f>F22*0.55</f>
        <v>78179850.721500024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3497437.7414999991</v>
      </c>
      <c r="E24" s="13"/>
      <c r="F24" s="13">
        <f>F22*0.45</f>
        <v>63965332.408500016</v>
      </c>
    </row>
    <row r="25" spans="1:6" x14ac:dyDescent="0.2">
      <c r="A25" t="s">
        <v>5</v>
      </c>
      <c r="B25" s="28">
        <v>2231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106853485.91000001</v>
      </c>
      <c r="E29" s="13"/>
      <c r="F29" s="13">
        <v>1529672605.4200003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96820158.86999999</v>
      </c>
      <c r="E30" s="13"/>
      <c r="F30" s="13">
        <v>1385696538.2999997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1307168.7</v>
      </c>
      <c r="E31" s="13"/>
      <c r="F31" s="13">
        <v>7942719.3899999997</v>
      </c>
    </row>
    <row r="32" spans="1:6" x14ac:dyDescent="0.2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 t="e">
        <f>SUM(#REF!)</f>
        <v>#REF!</v>
      </c>
      <c r="C33" s="13"/>
      <c r="D33" s="13">
        <v>8726158.3400000017</v>
      </c>
      <c r="E33" s="13"/>
      <c r="F33" s="13">
        <v>136043927.29999998</v>
      </c>
    </row>
    <row r="34" spans="1:6" x14ac:dyDescent="0.2">
      <c r="A34" t="s">
        <v>25</v>
      </c>
      <c r="B34" s="13" t="e">
        <f>B33*0.55</f>
        <v>#REF!</v>
      </c>
      <c r="C34" s="13"/>
      <c r="D34" s="13">
        <f>D33*0.55</f>
        <v>4799387.0870000012</v>
      </c>
      <c r="E34" s="13"/>
      <c r="F34" s="13">
        <f>F33*0.55</f>
        <v>74824160.015000001</v>
      </c>
    </row>
    <row r="35" spans="1:6" x14ac:dyDescent="0.2">
      <c r="A35" t="s">
        <v>32</v>
      </c>
      <c r="B35" s="13" t="e">
        <f>B33*0.45</f>
        <v>#REF!</v>
      </c>
      <c r="C35" s="13"/>
      <c r="D35" s="13">
        <f>D33*0.45</f>
        <v>3926771.253000001</v>
      </c>
      <c r="E35" s="13"/>
      <c r="F35" s="13">
        <f>F33*0.45</f>
        <v>61219767.284999996</v>
      </c>
    </row>
    <row r="36" spans="1:6" x14ac:dyDescent="0.2">
      <c r="A36" t="s">
        <v>5</v>
      </c>
      <c r="B36" s="31">
        <v>2735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81" t="s">
        <v>51</v>
      </c>
      <c r="B39" s="81"/>
      <c r="C39" s="81"/>
      <c r="D39" s="81"/>
      <c r="E39" s="81"/>
      <c r="F39" s="81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 t="e">
        <f>SUM(#REF!)</f>
        <v>#REF!</v>
      </c>
      <c r="C42" s="13"/>
      <c r="D42" s="13">
        <v>50695912.140000001</v>
      </c>
      <c r="E42" s="13"/>
      <c r="F42" s="13">
        <v>728396402.53999996</v>
      </c>
    </row>
    <row r="43" spans="1:6" x14ac:dyDescent="0.2">
      <c r="A43" t="s">
        <v>2</v>
      </c>
      <c r="B43" s="13" t="e">
        <f>SUM(#REF!)</f>
        <v>#REF!</v>
      </c>
      <c r="C43" s="13"/>
      <c r="D43" s="13">
        <v>46096618.430000007</v>
      </c>
      <c r="E43" s="13"/>
      <c r="F43" s="13">
        <v>660440568.25</v>
      </c>
    </row>
    <row r="44" spans="1:6" x14ac:dyDescent="0.2">
      <c r="A44" t="s">
        <v>0</v>
      </c>
      <c r="B44" s="13" t="e">
        <f>SUM(#REF!)</f>
        <v>#REF!</v>
      </c>
      <c r="C44" s="13"/>
      <c r="D44" s="13">
        <v>161664.84</v>
      </c>
      <c r="E44" s="13"/>
      <c r="F44" s="13">
        <v>1005539.91</v>
      </c>
    </row>
    <row r="45" spans="1:6" x14ac:dyDescent="0.2">
      <c r="A45" t="s">
        <v>31</v>
      </c>
      <c r="B45" s="13" t="e">
        <f>SUM(#REF!)</f>
        <v>#REF!</v>
      </c>
      <c r="C45" s="13"/>
      <c r="D45" s="13">
        <v>4437628.87</v>
      </c>
      <c r="E45" s="13"/>
      <c r="F45" s="13">
        <v>66950294.380000003</v>
      </c>
    </row>
    <row r="46" spans="1:6" x14ac:dyDescent="0.2">
      <c r="A46" t="s">
        <v>25</v>
      </c>
      <c r="B46" s="13" t="e">
        <f>B45*0.55</f>
        <v>#REF!</v>
      </c>
      <c r="C46" s="13"/>
      <c r="D46" s="13">
        <f>D45*0.55</f>
        <v>2440695.8785000001</v>
      </c>
      <c r="E46" s="13"/>
      <c r="F46" s="13">
        <f>F45*0.55</f>
        <v>36822661.909000002</v>
      </c>
    </row>
    <row r="47" spans="1:6" x14ac:dyDescent="0.2">
      <c r="A47" t="s">
        <v>32</v>
      </c>
      <c r="B47" s="13" t="e">
        <f>B45*0.45</f>
        <v>#REF!</v>
      </c>
      <c r="C47" s="13"/>
      <c r="D47" s="13">
        <f>D45*0.45</f>
        <v>1996932.9915</v>
      </c>
      <c r="E47" s="13"/>
      <c r="F47" s="13">
        <f>F45*0.45</f>
        <v>30127632.471000001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 t="e">
        <f>SUM(#REF!)</f>
        <v>#REF!</v>
      </c>
      <c r="C52" s="13"/>
      <c r="D52" s="13">
        <v>74656482.519999996</v>
      </c>
      <c r="E52" s="13"/>
      <c r="F52" s="13">
        <v>241914246.91000003</v>
      </c>
    </row>
    <row r="53" spans="1:7" x14ac:dyDescent="0.2">
      <c r="A53" t="s">
        <v>2</v>
      </c>
      <c r="B53" s="13" t="e">
        <f>SUM(#REF!)</f>
        <v>#REF!</v>
      </c>
      <c r="C53" s="13"/>
      <c r="D53" s="13">
        <v>68888952.200000003</v>
      </c>
      <c r="E53" s="13"/>
      <c r="F53" s="13">
        <v>222740553.73000002</v>
      </c>
    </row>
    <row r="54" spans="1:7" x14ac:dyDescent="0.2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 t="e">
        <f>SUM(#REF!)</f>
        <v>#REF!</v>
      </c>
      <c r="C55" s="13"/>
      <c r="D55" s="13">
        <v>5767530.3199999984</v>
      </c>
      <c r="E55" s="13"/>
      <c r="F55" s="13">
        <v>19173693.179999996</v>
      </c>
    </row>
    <row r="56" spans="1:7" x14ac:dyDescent="0.2">
      <c r="A56" t="s">
        <v>25</v>
      </c>
      <c r="B56" s="13" t="e">
        <f>B55*0.55</f>
        <v>#REF!</v>
      </c>
      <c r="C56" s="13"/>
      <c r="D56" s="13">
        <f>D55*0.55</f>
        <v>3172141.6759999995</v>
      </c>
      <c r="E56" s="13"/>
      <c r="F56" s="13">
        <f>F55*0.55</f>
        <v>10545531.248999998</v>
      </c>
    </row>
    <row r="57" spans="1:7" x14ac:dyDescent="0.2">
      <c r="A57" t="s">
        <v>32</v>
      </c>
      <c r="B57" s="13" t="e">
        <f>B55*0.45</f>
        <v>#REF!</v>
      </c>
      <c r="C57" s="13"/>
      <c r="D57" s="13">
        <f>D55*0.45</f>
        <v>2595388.6439999994</v>
      </c>
      <c r="E57" s="13"/>
      <c r="F57" s="13">
        <f>F55*0.45</f>
        <v>8628161.930999998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 t="e">
        <f>SUM(#REF!)</f>
        <v>#REF!</v>
      </c>
      <c r="C62" s="13"/>
      <c r="D62" s="13">
        <v>392669697.88999999</v>
      </c>
      <c r="E62" s="13"/>
      <c r="F62" s="13">
        <v>5117637731.0100002</v>
      </c>
    </row>
    <row r="63" spans="1:7" x14ac:dyDescent="0.2">
      <c r="A63" t="s">
        <v>2</v>
      </c>
      <c r="B63" s="13" t="e">
        <f>SUM(#REF!)</f>
        <v>#REF!</v>
      </c>
      <c r="C63" s="13"/>
      <c r="D63" s="13">
        <v>358344764.49000001</v>
      </c>
      <c r="E63" s="13"/>
      <c r="F63" s="13">
        <v>4648906194.2299995</v>
      </c>
    </row>
    <row r="64" spans="1:7" x14ac:dyDescent="0.2">
      <c r="A64" t="s">
        <v>0</v>
      </c>
      <c r="B64" s="13" t="e">
        <f>SUM(#REF!)</f>
        <v>#REF!</v>
      </c>
      <c r="C64" s="13"/>
      <c r="D64" s="13">
        <v>2146351.39</v>
      </c>
      <c r="E64" s="13"/>
      <c r="F64" s="13">
        <v>13750976.300000001</v>
      </c>
    </row>
    <row r="65" spans="1:7" x14ac:dyDescent="0.2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7" x14ac:dyDescent="0.2">
      <c r="A66" t="s">
        <v>31</v>
      </c>
      <c r="B66" s="13" t="e">
        <f>SUM(#REF!)</f>
        <v>#REF!</v>
      </c>
      <c r="C66" s="13"/>
      <c r="D66" s="13">
        <v>32178582.009999998</v>
      </c>
      <c r="E66" s="13"/>
      <c r="F66" s="13">
        <v>455190292.08000004</v>
      </c>
    </row>
    <row r="67" spans="1:7" x14ac:dyDescent="0.2">
      <c r="A67" t="s">
        <v>25</v>
      </c>
      <c r="B67" s="13" t="e">
        <f>B66*0.55</f>
        <v>#REF!</v>
      </c>
      <c r="C67" s="13"/>
      <c r="D67" s="13">
        <f>D66*0.55</f>
        <v>17698220.105500001</v>
      </c>
      <c r="E67" s="13"/>
      <c r="F67" s="13">
        <f>F66*0.55</f>
        <v>250354660.64400005</v>
      </c>
    </row>
    <row r="68" spans="1:7" x14ac:dyDescent="0.2">
      <c r="A68" t="s">
        <v>32</v>
      </c>
      <c r="B68" s="13" t="e">
        <f>B66*0.45</f>
        <v>#REF!</v>
      </c>
      <c r="C68" s="13"/>
      <c r="D68" s="13">
        <f>D66*0.45</f>
        <v>14480361.9045</v>
      </c>
      <c r="E68" s="13"/>
      <c r="F68" s="13">
        <f>F66*0.45</f>
        <v>204835631.43600002</v>
      </c>
    </row>
    <row r="69" spans="1:7" x14ac:dyDescent="0.2">
      <c r="A69" t="s">
        <v>5</v>
      </c>
      <c r="B69" s="18">
        <f>B58+B48+B36+B25+B15</f>
        <v>9907</v>
      </c>
    </row>
    <row r="70" spans="1:7" x14ac:dyDescent="0.2">
      <c r="F70" s="13"/>
      <c r="G70" s="13"/>
    </row>
    <row r="72" spans="1:7" ht="76.5" customHeight="1" x14ac:dyDescent="0.2">
      <c r="A72" s="81" t="s">
        <v>51</v>
      </c>
      <c r="B72" s="81"/>
      <c r="C72" s="81"/>
      <c r="D72" s="81"/>
      <c r="E72" s="81"/>
      <c r="F72" s="81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A3" sqref="A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83"/>
      <c r="B1" s="83"/>
      <c r="C1" s="83"/>
      <c r="D1" s="83"/>
      <c r="E1" s="83"/>
      <c r="F1" s="83"/>
    </row>
    <row r="2" spans="1:6" ht="18" x14ac:dyDescent="0.25">
      <c r="A2" s="77" t="s">
        <v>22</v>
      </c>
      <c r="B2" s="78"/>
      <c r="C2" s="78"/>
      <c r="D2" s="78"/>
      <c r="E2" s="78"/>
      <c r="F2" s="78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82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41144870.339999996</v>
      </c>
      <c r="C8" s="13"/>
      <c r="D8" s="13">
        <v>188286752.81999996</v>
      </c>
      <c r="E8" s="13"/>
      <c r="F8" s="13">
        <v>1092438024.3700001</v>
      </c>
    </row>
    <row r="9" spans="1:6" x14ac:dyDescent="0.2">
      <c r="A9" t="s">
        <v>2</v>
      </c>
      <c r="B9" s="13">
        <v>37466839.759999998</v>
      </c>
      <c r="C9" s="13"/>
      <c r="D9" s="13">
        <v>171730435.99000004</v>
      </c>
      <c r="E9" s="13"/>
      <c r="F9" s="13">
        <v>990672436.09000003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3678030.58</v>
      </c>
      <c r="C12" s="13"/>
      <c r="D12" s="13">
        <v>16556316.829999998</v>
      </c>
      <c r="E12" s="13"/>
      <c r="F12" s="13">
        <v>101958330.31</v>
      </c>
    </row>
    <row r="13" spans="1:6" x14ac:dyDescent="0.2">
      <c r="A13" t="s">
        <v>25</v>
      </c>
      <c r="B13" s="13">
        <v>2022916.8189999997</v>
      </c>
      <c r="C13" s="13"/>
      <c r="D13" s="13">
        <v>9105974.2565000001</v>
      </c>
      <c r="E13" s="13"/>
      <c r="F13" s="13">
        <v>56077081.670500003</v>
      </c>
    </row>
    <row r="14" spans="1:6" x14ac:dyDescent="0.2">
      <c r="A14" t="s">
        <v>32</v>
      </c>
      <c r="B14" s="13">
        <v>1655113.7609999997</v>
      </c>
      <c r="C14" s="13"/>
      <c r="D14" s="13">
        <v>7450342.573499999</v>
      </c>
      <c r="E14" s="13"/>
      <c r="F14" s="13">
        <v>45881248.6395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71341223.390000001</v>
      </c>
      <c r="C19" s="13"/>
      <c r="D19" s="13">
        <v>308076682.92999995</v>
      </c>
      <c r="E19" s="13"/>
      <c r="F19" s="13">
        <v>1861116070.1999998</v>
      </c>
    </row>
    <row r="20" spans="1:6" x14ac:dyDescent="0.2">
      <c r="A20" t="s">
        <v>2</v>
      </c>
      <c r="B20" s="13">
        <v>65223224.380000003</v>
      </c>
      <c r="C20" s="13"/>
      <c r="D20" s="13">
        <v>281696024.49999994</v>
      </c>
      <c r="E20" s="13"/>
      <c r="F20" s="13">
        <v>1696243523.3600001</v>
      </c>
    </row>
    <row r="21" spans="1:6" x14ac:dyDescent="0.2">
      <c r="A21" t="s">
        <v>0</v>
      </c>
      <c r="B21" s="13">
        <v>525303.55000000005</v>
      </c>
      <c r="C21" s="13"/>
      <c r="D21" s="13">
        <v>1977407.35</v>
      </c>
      <c r="E21" s="13"/>
      <c r="F21" s="13">
        <v>6096196.4999999991</v>
      </c>
    </row>
    <row r="22" spans="1:6" x14ac:dyDescent="0.2">
      <c r="A22" t="s">
        <v>31</v>
      </c>
      <c r="B22" s="13">
        <v>5592695.4599999981</v>
      </c>
      <c r="C22" s="13"/>
      <c r="D22" s="13">
        <v>24403251.079999994</v>
      </c>
      <c r="E22" s="13"/>
      <c r="F22" s="13">
        <v>158776350.34</v>
      </c>
    </row>
    <row r="23" spans="1:6" x14ac:dyDescent="0.2">
      <c r="A23" t="s">
        <v>25</v>
      </c>
      <c r="B23" s="13">
        <v>3075982.5029999991</v>
      </c>
      <c r="C23" s="13"/>
      <c r="D23" s="13">
        <v>13421788.093999999</v>
      </c>
      <c r="E23" s="13"/>
      <c r="F23" s="13">
        <v>87326992.687000006</v>
      </c>
    </row>
    <row r="24" spans="1:6" x14ac:dyDescent="0.2">
      <c r="A24" t="s">
        <v>32</v>
      </c>
      <c r="B24" s="13">
        <v>2516712.956999999</v>
      </c>
      <c r="C24" s="13"/>
      <c r="D24" s="13">
        <v>10981462.985999998</v>
      </c>
      <c r="E24" s="13"/>
      <c r="F24" s="13">
        <v>71449357.652999997</v>
      </c>
    </row>
    <row r="25" spans="1:6" x14ac:dyDescent="0.2">
      <c r="A25" t="s">
        <v>5</v>
      </c>
      <c r="B25" s="28">
        <v>2239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82415654.290000007</v>
      </c>
      <c r="C29" s="13"/>
      <c r="D29" s="13">
        <v>339664520.04000002</v>
      </c>
      <c r="E29" s="13"/>
      <c r="F29" s="13">
        <v>1762483639.5500002</v>
      </c>
    </row>
    <row r="30" spans="1:6" x14ac:dyDescent="0.2">
      <c r="A30" t="s">
        <v>2</v>
      </c>
      <c r="B30" s="13">
        <v>75061384.599999994</v>
      </c>
      <c r="C30" s="13"/>
      <c r="D30" s="13">
        <v>308301113.88</v>
      </c>
      <c r="E30" s="13"/>
      <c r="F30" s="13">
        <v>1597177493.3099999</v>
      </c>
    </row>
    <row r="31" spans="1:6" x14ac:dyDescent="0.2">
      <c r="A31" t="s">
        <v>0</v>
      </c>
      <c r="B31" s="13">
        <v>1055889.17</v>
      </c>
      <c r="C31" s="13"/>
      <c r="D31" s="13">
        <v>4080869.32</v>
      </c>
      <c r="E31" s="13"/>
      <c r="F31" s="13">
        <v>10716420.009999998</v>
      </c>
    </row>
    <row r="32" spans="1:6" x14ac:dyDescent="0.2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">
      <c r="A33" t="s">
        <v>31</v>
      </c>
      <c r="B33" s="13">
        <v>6298380.5200000014</v>
      </c>
      <c r="C33" s="13"/>
      <c r="D33" s="13">
        <v>27301478.150000002</v>
      </c>
      <c r="E33" s="13"/>
      <c r="F33" s="13">
        <v>154619247.10999998</v>
      </c>
    </row>
    <row r="34" spans="1:6" x14ac:dyDescent="0.2">
      <c r="A34" t="s">
        <v>25</v>
      </c>
      <c r="B34" s="13">
        <v>3464109.2860000012</v>
      </c>
      <c r="C34" s="13"/>
      <c r="D34" s="13">
        <v>15015812.982500002</v>
      </c>
      <c r="E34" s="13"/>
      <c r="F34" s="13">
        <v>85040585.910500005</v>
      </c>
    </row>
    <row r="35" spans="1:6" x14ac:dyDescent="0.2">
      <c r="A35" t="s">
        <v>32</v>
      </c>
      <c r="B35" s="13">
        <v>2834271.2340000006</v>
      </c>
      <c r="C35" s="13"/>
      <c r="D35" s="13">
        <v>12285665.1675</v>
      </c>
      <c r="E35" s="13"/>
      <c r="F35" s="13">
        <v>69578661.199499995</v>
      </c>
    </row>
    <row r="36" spans="1:6" x14ac:dyDescent="0.2">
      <c r="A36" t="s">
        <v>5</v>
      </c>
      <c r="B36" s="31">
        <v>2788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81" t="s">
        <v>51</v>
      </c>
      <c r="B39" s="81"/>
      <c r="C39" s="81"/>
      <c r="D39" s="81"/>
      <c r="E39" s="81"/>
      <c r="F39" s="81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35905324.68</v>
      </c>
      <c r="C42" s="13"/>
      <c r="D42" s="13">
        <v>159575777.45000002</v>
      </c>
      <c r="E42" s="13"/>
      <c r="F42" s="13">
        <v>837276267.85000002</v>
      </c>
    </row>
    <row r="43" spans="1:6" x14ac:dyDescent="0.2">
      <c r="A43" t="s">
        <v>2</v>
      </c>
      <c r="B43" s="13">
        <v>32566267.649999999</v>
      </c>
      <c r="C43" s="13"/>
      <c r="D43" s="13">
        <v>144857702.01999998</v>
      </c>
      <c r="E43" s="13"/>
      <c r="F43" s="13">
        <v>759201651.84000003</v>
      </c>
    </row>
    <row r="44" spans="1:6" x14ac:dyDescent="0.2">
      <c r="A44" t="s">
        <v>0</v>
      </c>
      <c r="B44" s="13">
        <v>109169.5</v>
      </c>
      <c r="C44" s="13"/>
      <c r="D44" s="13">
        <v>551279.84</v>
      </c>
      <c r="E44" s="13"/>
      <c r="F44" s="13">
        <v>1395154.91</v>
      </c>
    </row>
    <row r="45" spans="1:6" x14ac:dyDescent="0.2">
      <c r="A45" t="s">
        <v>31</v>
      </c>
      <c r="B45" s="13">
        <v>3229887.53</v>
      </c>
      <c r="C45" s="13"/>
      <c r="D45" s="13">
        <v>14166795.589999994</v>
      </c>
      <c r="E45" s="13"/>
      <c r="F45" s="13">
        <v>76679461.099999994</v>
      </c>
    </row>
    <row r="46" spans="1:6" x14ac:dyDescent="0.2">
      <c r="A46" t="s">
        <v>25</v>
      </c>
      <c r="B46" s="13">
        <v>1776438.1414999997</v>
      </c>
      <c r="C46" s="13"/>
      <c r="D46" s="13">
        <v>7791737.5744999973</v>
      </c>
      <c r="E46" s="13"/>
      <c r="F46" s="13">
        <v>42173703.604999997</v>
      </c>
    </row>
    <row r="47" spans="1:6" x14ac:dyDescent="0.2">
      <c r="A47" t="s">
        <v>32</v>
      </c>
      <c r="B47" s="13">
        <v>1453449.3884999997</v>
      </c>
      <c r="C47" s="13"/>
      <c r="D47" s="13">
        <v>6375058.0154999979</v>
      </c>
      <c r="E47" s="13"/>
      <c r="F47" s="13">
        <v>34505757.494999997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54335925.730000004</v>
      </c>
      <c r="C52" s="13"/>
      <c r="D52" s="13">
        <v>236074878.90000004</v>
      </c>
      <c r="E52" s="13"/>
      <c r="F52" s="13">
        <v>403332643.29000008</v>
      </c>
    </row>
    <row r="53" spans="1:7" x14ac:dyDescent="0.2">
      <c r="A53" t="s">
        <v>2</v>
      </c>
      <c r="B53" s="13">
        <v>49894928.049999997</v>
      </c>
      <c r="C53" s="13"/>
      <c r="D53" s="13">
        <v>217246114.56000006</v>
      </c>
      <c r="E53" s="13"/>
      <c r="F53" s="13">
        <v>371097716.09000009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4440997.68</v>
      </c>
      <c r="C55" s="13"/>
      <c r="D55" s="13">
        <v>18828764.34</v>
      </c>
      <c r="E55" s="13"/>
      <c r="F55" s="13">
        <v>32234927.199999996</v>
      </c>
    </row>
    <row r="56" spans="1:7" x14ac:dyDescent="0.2">
      <c r="A56" t="s">
        <v>25</v>
      </c>
      <c r="B56" s="13">
        <v>2442548.7240000009</v>
      </c>
      <c r="C56" s="13"/>
      <c r="D56" s="13">
        <v>10355820.387</v>
      </c>
      <c r="E56" s="13"/>
      <c r="F56" s="13">
        <v>17729209.959999997</v>
      </c>
    </row>
    <row r="57" spans="1:7" x14ac:dyDescent="0.2">
      <c r="A57" t="s">
        <v>32</v>
      </c>
      <c r="B57" s="13">
        <v>1998448.9560000007</v>
      </c>
      <c r="C57" s="13"/>
      <c r="D57" s="13">
        <v>8472943.9529999997</v>
      </c>
      <c r="E57" s="13"/>
      <c r="F57" s="13">
        <v>14505717.239999998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  <c r="G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285142998.43000001</v>
      </c>
      <c r="C62" s="13"/>
      <c r="D62" s="13">
        <v>1231678612.1399999</v>
      </c>
      <c r="E62" s="13"/>
      <c r="F62" s="13">
        <v>5956646645.2600002</v>
      </c>
    </row>
    <row r="63" spans="1:7" x14ac:dyDescent="0.2">
      <c r="A63" t="s">
        <v>2</v>
      </c>
      <c r="B63" s="13">
        <v>260212644.44</v>
      </c>
      <c r="C63" s="13"/>
      <c r="D63" s="13">
        <v>1123831390.95</v>
      </c>
      <c r="E63" s="13"/>
      <c r="F63" s="13">
        <v>5414392820.6899996</v>
      </c>
    </row>
    <row r="64" spans="1:7" x14ac:dyDescent="0.2">
      <c r="A64" t="s">
        <v>0</v>
      </c>
      <c r="B64" s="13">
        <v>1690362.22</v>
      </c>
      <c r="C64" s="13"/>
      <c r="D64" s="13">
        <v>6609556.5100000016</v>
      </c>
      <c r="E64" s="13"/>
      <c r="F64" s="13">
        <v>18214181.420000002</v>
      </c>
    </row>
    <row r="65" spans="1:7" x14ac:dyDescent="0.2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">
      <c r="A66" t="s">
        <v>31</v>
      </c>
      <c r="B66" s="13">
        <v>23239991.77</v>
      </c>
      <c r="C66" s="13"/>
      <c r="D66" s="13">
        <v>101256605.98999998</v>
      </c>
      <c r="E66" s="13"/>
      <c r="F66" s="13">
        <v>524268316.06000006</v>
      </c>
    </row>
    <row r="67" spans="1:7" x14ac:dyDescent="0.2">
      <c r="A67" t="s">
        <v>25</v>
      </c>
      <c r="B67" s="13">
        <v>12781995.4735</v>
      </c>
      <c r="C67" s="13"/>
      <c r="D67" s="13">
        <v>55691133.294499993</v>
      </c>
      <c r="E67" s="13"/>
      <c r="F67" s="13">
        <v>288347573.83300006</v>
      </c>
    </row>
    <row r="68" spans="1:7" x14ac:dyDescent="0.2">
      <c r="A68" t="s">
        <v>32</v>
      </c>
      <c r="B68" s="13">
        <v>10457996.296499999</v>
      </c>
      <c r="C68" s="13"/>
      <c r="D68" s="13">
        <v>45565472.695499994</v>
      </c>
      <c r="E68" s="13"/>
      <c r="F68" s="13">
        <v>235920742.22700003</v>
      </c>
    </row>
    <row r="69" spans="1:7" x14ac:dyDescent="0.2">
      <c r="A69" t="s">
        <v>5</v>
      </c>
      <c r="B69" s="18">
        <v>9968</v>
      </c>
    </row>
    <row r="70" spans="1:7" x14ac:dyDescent="0.2">
      <c r="D70" s="13"/>
      <c r="F70" s="13"/>
      <c r="G70" s="13"/>
    </row>
    <row r="71" spans="1:7" x14ac:dyDescent="0.2">
      <c r="D71" s="13"/>
      <c r="F71" s="13"/>
    </row>
    <row r="72" spans="1:7" ht="76.5" customHeight="1" x14ac:dyDescent="0.2">
      <c r="A72" s="81" t="s">
        <v>51</v>
      </c>
      <c r="B72" s="81"/>
      <c r="C72" s="81"/>
      <c r="D72" s="81"/>
      <c r="E72" s="81"/>
      <c r="F72" s="81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8"/>
  <sheetViews>
    <sheetView tabSelected="1" zoomScale="85" zoomScaleNormal="85" zoomScaleSheetLayoutView="75" workbookViewId="0">
      <pane xSplit="1" ySplit="4" topLeftCell="G263" activePane="bottomRight" state="frozen"/>
      <selection pane="topRight" activeCell="B1" sqref="B1"/>
      <selection pane="bottomLeft" activeCell="A5" sqref="A5"/>
      <selection pane="bottomRight" activeCell="Q284" sqref="Q284"/>
    </sheetView>
  </sheetViews>
  <sheetFormatPr defaultRowHeight="15.75" x14ac:dyDescent="0.25"/>
  <cols>
    <col min="1" max="1" width="37.85546875" style="35" bestFit="1" customWidth="1"/>
    <col min="2" max="8" width="20.7109375" style="35" customWidth="1"/>
    <col min="9" max="9" width="20.7109375" style="61" customWidth="1"/>
    <col min="10" max="13" width="20.7109375" style="35" customWidth="1"/>
    <col min="14" max="14" width="2.85546875" style="35" customWidth="1"/>
    <col min="15" max="16" width="20.7109375" style="35" customWidth="1"/>
    <col min="17" max="18" width="25" style="35" bestFit="1" customWidth="1"/>
    <col min="19" max="16384" width="9.140625" style="35"/>
  </cols>
  <sheetData>
    <row r="1" spans="1:16" ht="58.5" customHeight="1" x14ac:dyDescent="0.25">
      <c r="A1" s="34"/>
      <c r="B1" s="34"/>
      <c r="C1" s="34"/>
      <c r="D1" s="34"/>
      <c r="E1" s="34"/>
      <c r="F1" s="34"/>
      <c r="G1" s="34"/>
      <c r="H1" s="34"/>
      <c r="I1" s="60"/>
      <c r="J1" s="34"/>
      <c r="K1" s="34"/>
      <c r="L1" s="34"/>
      <c r="M1" s="34"/>
      <c r="N1" s="34"/>
      <c r="O1" s="34"/>
      <c r="P1" s="34"/>
    </row>
    <row r="2" spans="1:16" ht="18.75" customHeight="1" x14ac:dyDescent="0.25"/>
    <row r="3" spans="1:16" ht="31.5" customHeight="1" x14ac:dyDescent="0.25">
      <c r="A3" s="84" t="s">
        <v>100</v>
      </c>
      <c r="B3" s="84"/>
      <c r="C3" s="84"/>
      <c r="D3" s="84"/>
      <c r="E3" s="84"/>
      <c r="F3" s="84"/>
      <c r="G3" s="84"/>
      <c r="H3" s="84" t="s">
        <v>101</v>
      </c>
      <c r="I3" s="84"/>
      <c r="J3" s="84"/>
      <c r="K3" s="84"/>
      <c r="L3" s="84"/>
      <c r="M3" s="84"/>
      <c r="N3" s="84"/>
    </row>
    <row r="4" spans="1:16" s="58" customFormat="1" ht="23.25" customHeight="1" x14ac:dyDescent="0.25">
      <c r="A4" s="56"/>
      <c r="B4" s="57" t="s">
        <v>110</v>
      </c>
      <c r="C4" s="57" t="s">
        <v>111</v>
      </c>
      <c r="D4" s="57" t="s">
        <v>112</v>
      </c>
      <c r="E4" s="57" t="s">
        <v>113</v>
      </c>
      <c r="F4" s="57" t="s">
        <v>114</v>
      </c>
      <c r="G4" s="57" t="s">
        <v>115</v>
      </c>
      <c r="H4" s="57" t="s">
        <v>116</v>
      </c>
      <c r="I4" s="57" t="s">
        <v>117</v>
      </c>
      <c r="J4" s="57" t="s">
        <v>118</v>
      </c>
      <c r="K4" s="57" t="s">
        <v>119</v>
      </c>
      <c r="L4" s="57" t="s">
        <v>120</v>
      </c>
      <c r="M4" s="57" t="s">
        <v>121</v>
      </c>
      <c r="N4" s="57"/>
      <c r="O4" s="57" t="s">
        <v>122</v>
      </c>
      <c r="P4" s="57" t="s">
        <v>85</v>
      </c>
    </row>
    <row r="5" spans="1:16" s="38" customFormat="1" ht="16.5" customHeight="1" x14ac:dyDescent="0.25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73"/>
      <c r="P5" s="37"/>
    </row>
    <row r="6" spans="1:16" ht="15.75" customHeight="1" x14ac:dyDescent="0.25">
      <c r="A6" s="53" t="s">
        <v>89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74"/>
      <c r="P6" s="74"/>
    </row>
    <row r="7" spans="1:16" s="43" customFormat="1" ht="15.75" customHeight="1" x14ac:dyDescent="0.25">
      <c r="A7" s="40" t="s">
        <v>87</v>
      </c>
      <c r="B7" s="41">
        <v>91</v>
      </c>
      <c r="C7" s="41">
        <v>91</v>
      </c>
      <c r="D7" s="41">
        <v>91</v>
      </c>
      <c r="E7" s="41">
        <v>91</v>
      </c>
      <c r="F7" s="41">
        <v>91</v>
      </c>
      <c r="G7" s="41">
        <v>91</v>
      </c>
      <c r="H7" s="41">
        <v>91</v>
      </c>
      <c r="I7" s="41">
        <v>91</v>
      </c>
      <c r="J7" s="41">
        <v>91</v>
      </c>
      <c r="K7" s="41">
        <v>91</v>
      </c>
      <c r="L7" s="41">
        <v>91</v>
      </c>
      <c r="M7" s="41">
        <v>90</v>
      </c>
      <c r="N7" s="42"/>
      <c r="O7" s="75"/>
      <c r="P7" s="75"/>
    </row>
    <row r="8" spans="1:16" ht="15.75" customHeight="1" x14ac:dyDescent="0.25">
      <c r="A8" s="44" t="s">
        <v>97</v>
      </c>
      <c r="B8" s="45">
        <v>4622217.33</v>
      </c>
      <c r="C8" s="45">
        <v>3644218.9000000004</v>
      </c>
      <c r="D8" s="45">
        <v>3104753.96</v>
      </c>
      <c r="E8" s="45">
        <v>3827270.34</v>
      </c>
      <c r="F8" s="45">
        <v>3402320.21</v>
      </c>
      <c r="G8" s="45">
        <v>4273752.92</v>
      </c>
      <c r="H8" s="45">
        <v>3368736.4899999998</v>
      </c>
      <c r="I8" s="45">
        <v>3684555.0599999996</v>
      </c>
      <c r="J8" s="45">
        <v>4197408.71</v>
      </c>
      <c r="K8" s="45">
        <v>4225842.42</v>
      </c>
      <c r="L8" s="45">
        <v>3699969.93</v>
      </c>
      <c r="M8" s="45">
        <v>3635374.1</v>
      </c>
      <c r="N8" s="46"/>
      <c r="O8" s="45">
        <f>SUM(B8:M8)</f>
        <v>45686420.370000005</v>
      </c>
      <c r="P8" s="45">
        <f>O8+218609874</f>
        <v>264296294.37</v>
      </c>
    </row>
    <row r="9" spans="1:16" ht="15.75" customHeight="1" x14ac:dyDescent="0.25">
      <c r="A9" s="44" t="s">
        <v>102</v>
      </c>
      <c r="B9" s="45">
        <v>554666.06999999995</v>
      </c>
      <c r="C9" s="45">
        <v>437306.27000000008</v>
      </c>
      <c r="D9" s="45">
        <v>372570.47000000003</v>
      </c>
      <c r="E9" s="45">
        <v>459272.44</v>
      </c>
      <c r="F9" s="45">
        <v>408278.42000000004</v>
      </c>
      <c r="G9" s="45">
        <v>512850.35</v>
      </c>
      <c r="H9" s="45">
        <v>404248.36999999994</v>
      </c>
      <c r="I9" s="45">
        <v>442146.61000000004</v>
      </c>
      <c r="J9" s="45">
        <v>503689.05</v>
      </c>
      <c r="K9" s="45">
        <v>507101.08999999997</v>
      </c>
      <c r="L9" s="45">
        <v>443996.38999999996</v>
      </c>
      <c r="M9" s="45">
        <v>436244.9</v>
      </c>
      <c r="N9" s="47"/>
      <c r="O9" s="45">
        <f>SUM(B9:M9)</f>
        <v>5482370.4299999997</v>
      </c>
      <c r="P9" s="45">
        <f>O9+27898692</f>
        <v>33381062.43</v>
      </c>
    </row>
    <row r="10" spans="1:16" ht="15.75" customHeight="1" x14ac:dyDescent="0.25">
      <c r="A10" s="44" t="s">
        <v>88</v>
      </c>
      <c r="B10" s="45">
        <v>92444.35</v>
      </c>
      <c r="C10" s="45">
        <v>72884.37</v>
      </c>
      <c r="D10" s="45">
        <v>62095.09</v>
      </c>
      <c r="E10" s="45">
        <v>76545.41</v>
      </c>
      <c r="F10" s="45">
        <v>68046.409999999989</v>
      </c>
      <c r="G10" s="45">
        <v>85475.05</v>
      </c>
      <c r="H10" s="45">
        <v>67374.73</v>
      </c>
      <c r="I10" s="45">
        <v>73691.109999999986</v>
      </c>
      <c r="J10" s="45">
        <v>83948.17</v>
      </c>
      <c r="K10" s="45">
        <v>84516.86</v>
      </c>
      <c r="L10" s="45">
        <v>73999.39999999998</v>
      </c>
      <c r="M10" s="45">
        <v>72707.489999999991</v>
      </c>
      <c r="N10" s="47"/>
      <c r="O10" s="45">
        <f>SUM(B10:M10)</f>
        <v>913728.44</v>
      </c>
      <c r="P10" s="45">
        <f>O10+4372197</f>
        <v>5285925.4399999995</v>
      </c>
    </row>
    <row r="11" spans="1:16" s="43" customFormat="1" ht="15.75" customHeight="1" x14ac:dyDescent="0.25">
      <c r="A11" s="40" t="s">
        <v>103</v>
      </c>
      <c r="B11" s="41">
        <v>18</v>
      </c>
      <c r="C11" s="41">
        <v>18</v>
      </c>
      <c r="D11" s="41">
        <v>18</v>
      </c>
      <c r="E11" s="41">
        <v>18</v>
      </c>
      <c r="F11" s="41">
        <v>18</v>
      </c>
      <c r="G11" s="41">
        <v>18</v>
      </c>
      <c r="H11" s="41">
        <v>18</v>
      </c>
      <c r="I11" s="41">
        <v>18</v>
      </c>
      <c r="J11" s="41">
        <v>18</v>
      </c>
      <c r="K11" s="41">
        <v>18</v>
      </c>
      <c r="L11" s="41">
        <v>18</v>
      </c>
      <c r="M11" s="41">
        <v>18</v>
      </c>
      <c r="N11" s="39"/>
      <c r="O11" s="75"/>
      <c r="P11" s="75"/>
    </row>
    <row r="12" spans="1:16" ht="15.75" customHeight="1" x14ac:dyDescent="0.25">
      <c r="A12" s="44" t="s">
        <v>97</v>
      </c>
      <c r="B12" s="45">
        <v>232268</v>
      </c>
      <c r="C12" s="45">
        <v>245626</v>
      </c>
      <c r="D12" s="45">
        <v>225977</v>
      </c>
      <c r="E12" s="45">
        <v>245789</v>
      </c>
      <c r="F12" s="45">
        <v>251608</v>
      </c>
      <c r="G12" s="45">
        <v>228215</v>
      </c>
      <c r="H12" s="45">
        <v>288977</v>
      </c>
      <c r="I12" s="45">
        <v>270448</v>
      </c>
      <c r="J12" s="45">
        <v>286246</v>
      </c>
      <c r="K12" s="45">
        <v>264037</v>
      </c>
      <c r="L12" s="45">
        <v>229215</v>
      </c>
      <c r="M12" s="45">
        <v>267145</v>
      </c>
      <c r="N12" s="48"/>
      <c r="O12" s="45">
        <f>SUM(B12:M12)</f>
        <v>3035551</v>
      </c>
      <c r="P12" s="45">
        <f>O12+18845724</f>
        <v>21881275</v>
      </c>
    </row>
    <row r="13" spans="1:16" s="43" customFormat="1" ht="15.75" customHeight="1" x14ac:dyDescent="0.25">
      <c r="A13" s="44" t="s">
        <v>102</v>
      </c>
      <c r="B13" s="45">
        <v>27872.16</v>
      </c>
      <c r="C13" s="45">
        <v>29475.119999999999</v>
      </c>
      <c r="D13" s="45">
        <v>27117.24</v>
      </c>
      <c r="E13" s="45">
        <v>29494.68</v>
      </c>
      <c r="F13" s="45">
        <v>30192.959999999999</v>
      </c>
      <c r="G13" s="45">
        <v>27385.8</v>
      </c>
      <c r="H13" s="45">
        <v>34677.24</v>
      </c>
      <c r="I13" s="45">
        <v>32453.759999999995</v>
      </c>
      <c r="J13" s="45">
        <v>34349.520000000004</v>
      </c>
      <c r="K13" s="45">
        <v>31684.44</v>
      </c>
      <c r="L13" s="45">
        <v>27505.800000000003</v>
      </c>
      <c r="M13" s="45">
        <v>32057.4</v>
      </c>
      <c r="N13" s="39"/>
      <c r="O13" s="45">
        <f>SUM(B13:M13)</f>
        <v>364266.12</v>
      </c>
      <c r="P13" s="45">
        <f>O13+2428017</f>
        <v>2792283.12</v>
      </c>
    </row>
    <row r="14" spans="1:16" ht="15.75" customHeight="1" x14ac:dyDescent="0.25">
      <c r="A14" s="44" t="s">
        <v>88</v>
      </c>
      <c r="B14" s="45">
        <v>4645.3599999999997</v>
      </c>
      <c r="C14" s="45">
        <v>4912.5199999999995</v>
      </c>
      <c r="D14" s="45">
        <v>4519.54</v>
      </c>
      <c r="E14" s="45">
        <v>4915.7800000000007</v>
      </c>
      <c r="F14" s="45">
        <v>5032.16</v>
      </c>
      <c r="G14" s="45">
        <v>4564.3</v>
      </c>
      <c r="H14" s="45">
        <v>5779.5400000000009</v>
      </c>
      <c r="I14" s="45">
        <v>5408.9599999999991</v>
      </c>
      <c r="J14" s="45">
        <v>5724.92</v>
      </c>
      <c r="K14" s="45">
        <v>5280.7400000000007</v>
      </c>
      <c r="L14" s="45">
        <v>4584.3</v>
      </c>
      <c r="M14" s="45">
        <v>5342.9</v>
      </c>
      <c r="N14" s="48"/>
      <c r="O14" s="45">
        <f>SUM(B14:M14)</f>
        <v>60711.02</v>
      </c>
      <c r="P14" s="45">
        <f>O14+376915</f>
        <v>437626.02</v>
      </c>
    </row>
    <row r="15" spans="1:16" s="43" customFormat="1" ht="15.75" customHeight="1" x14ac:dyDescent="0.25">
      <c r="A15" s="40" t="s">
        <v>104</v>
      </c>
      <c r="B15" s="41">
        <v>73</v>
      </c>
      <c r="C15" s="41">
        <v>73</v>
      </c>
      <c r="D15" s="41">
        <v>73</v>
      </c>
      <c r="E15" s="41">
        <v>73</v>
      </c>
      <c r="F15" s="41">
        <v>73</v>
      </c>
      <c r="G15" s="41">
        <v>73</v>
      </c>
      <c r="H15" s="41">
        <v>73</v>
      </c>
      <c r="I15" s="41">
        <v>73</v>
      </c>
      <c r="J15" s="41">
        <v>73</v>
      </c>
      <c r="K15" s="41">
        <v>73</v>
      </c>
      <c r="L15" s="41">
        <v>71.666666666666671</v>
      </c>
      <c r="M15" s="41">
        <v>71</v>
      </c>
      <c r="N15" s="39"/>
      <c r="O15" s="75"/>
      <c r="P15" s="75"/>
    </row>
    <row r="16" spans="1:16" ht="15.75" customHeight="1" x14ac:dyDescent="0.25">
      <c r="A16" s="44" t="s">
        <v>97</v>
      </c>
      <c r="B16" s="45">
        <v>4389949.33</v>
      </c>
      <c r="C16" s="45">
        <v>3398592.9000000004</v>
      </c>
      <c r="D16" s="45">
        <v>2878776.96</v>
      </c>
      <c r="E16" s="45">
        <v>3581481.34</v>
      </c>
      <c r="F16" s="45">
        <v>3150712.21</v>
      </c>
      <c r="G16" s="45">
        <v>4045537.92</v>
      </c>
      <c r="H16" s="45">
        <v>3079759.49</v>
      </c>
      <c r="I16" s="45">
        <v>3414107.0599999996</v>
      </c>
      <c r="J16" s="45">
        <v>3911162.71</v>
      </c>
      <c r="K16" s="45">
        <v>3961805.4200000004</v>
      </c>
      <c r="L16" s="45">
        <v>3403756.5699999994</v>
      </c>
      <c r="M16" s="45">
        <v>3260002.05</v>
      </c>
      <c r="N16" s="49"/>
      <c r="O16" s="45">
        <f>SUM(B16:M16)</f>
        <v>42475643.960000001</v>
      </c>
      <c r="P16" s="45">
        <f>O16+199764150</f>
        <v>242239793.96000001</v>
      </c>
    </row>
    <row r="17" spans="1:16" s="43" customFormat="1" ht="15.75" customHeight="1" x14ac:dyDescent="0.25">
      <c r="A17" s="44" t="s">
        <v>102</v>
      </c>
      <c r="B17" s="45">
        <v>526793.90999999992</v>
      </c>
      <c r="C17" s="45">
        <v>407831.14999999997</v>
      </c>
      <c r="D17" s="45">
        <v>345453.23</v>
      </c>
      <c r="E17" s="45">
        <v>429777.76</v>
      </c>
      <c r="F17" s="45">
        <v>378085.46</v>
      </c>
      <c r="G17" s="45">
        <v>485464.55</v>
      </c>
      <c r="H17" s="45">
        <v>369571.13</v>
      </c>
      <c r="I17" s="45">
        <v>409692.85</v>
      </c>
      <c r="J17" s="45">
        <v>469339.53</v>
      </c>
      <c r="K17" s="45">
        <v>475416.65</v>
      </c>
      <c r="L17" s="45">
        <v>408450.79</v>
      </c>
      <c r="M17" s="45">
        <v>391200.24999999994</v>
      </c>
      <c r="N17" s="39"/>
      <c r="O17" s="45">
        <f>SUM(B17:M17)</f>
        <v>5097077.26</v>
      </c>
      <c r="P17" s="45">
        <f>O17+25470674</f>
        <v>30567751.259999998</v>
      </c>
    </row>
    <row r="18" spans="1:16" ht="15.75" customHeight="1" x14ac:dyDescent="0.25">
      <c r="A18" s="44" t="s">
        <v>88</v>
      </c>
      <c r="B18" s="45">
        <v>87798.989999999991</v>
      </c>
      <c r="C18" s="45">
        <v>67971.850000000006</v>
      </c>
      <c r="D18" s="45">
        <v>57575.55</v>
      </c>
      <c r="E18" s="45">
        <v>71629.63</v>
      </c>
      <c r="F18" s="45">
        <v>63014.25</v>
      </c>
      <c r="G18" s="45">
        <v>80910.75</v>
      </c>
      <c r="H18" s="45">
        <v>61595.189999999995</v>
      </c>
      <c r="I18" s="45">
        <v>68282.149999999994</v>
      </c>
      <c r="J18" s="45">
        <v>78223.25</v>
      </c>
      <c r="K18" s="45">
        <v>79236.12</v>
      </c>
      <c r="L18" s="45">
        <v>68075.13</v>
      </c>
      <c r="M18" s="45">
        <v>65200.04</v>
      </c>
      <c r="N18" s="47"/>
      <c r="O18" s="45">
        <f>SUM(B18:M18)</f>
        <v>849512.9</v>
      </c>
      <c r="P18" s="45">
        <f>O18+3995283</f>
        <v>4844795.9000000004</v>
      </c>
    </row>
    <row r="19" spans="1:16" ht="15.75" customHeight="1" x14ac:dyDescent="0.25">
      <c r="A19" s="40" t="s">
        <v>105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39"/>
      <c r="O19" s="75"/>
      <c r="P19" s="75"/>
    </row>
    <row r="20" spans="1:16" ht="15.75" customHeight="1" x14ac:dyDescent="0.25">
      <c r="A20" s="44" t="s">
        <v>97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39"/>
      <c r="O20" s="45">
        <f>SUM(B20:M20)</f>
        <v>0</v>
      </c>
      <c r="P20" s="45">
        <f>O20</f>
        <v>0</v>
      </c>
    </row>
    <row r="21" spans="1:16" s="43" customFormat="1" ht="15.75" customHeight="1" x14ac:dyDescent="0.25">
      <c r="A21" s="44" t="s">
        <v>102</v>
      </c>
      <c r="B21" s="45">
        <v>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2"/>
      <c r="O21" s="45">
        <f>SUM(B21:M21)</f>
        <v>0</v>
      </c>
      <c r="P21" s="45">
        <f>O21</f>
        <v>0</v>
      </c>
    </row>
    <row r="22" spans="1:16" s="43" customFormat="1" ht="15.75" customHeight="1" x14ac:dyDescent="0.25">
      <c r="A22" s="44" t="s">
        <v>88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50"/>
      <c r="O22" s="45">
        <f>SUM(B22:M22)</f>
        <v>0</v>
      </c>
      <c r="P22" s="45">
        <f>O22</f>
        <v>0</v>
      </c>
    </row>
    <row r="23" spans="1:16" ht="15.75" customHeight="1" x14ac:dyDescent="0.25">
      <c r="A23" s="40" t="s">
        <v>106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7"/>
      <c r="O23" s="75"/>
      <c r="P23" s="75"/>
    </row>
    <row r="24" spans="1:16" ht="15.75" customHeight="1" x14ac:dyDescent="0.25">
      <c r="A24" s="44" t="s">
        <v>97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7"/>
      <c r="O24" s="45">
        <f>SUM(B24:M24)</f>
        <v>0</v>
      </c>
      <c r="P24" s="45">
        <f>O24</f>
        <v>0</v>
      </c>
    </row>
    <row r="25" spans="1:16" ht="15.75" customHeight="1" x14ac:dyDescent="0.25">
      <c r="A25" s="44" t="s">
        <v>102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39"/>
      <c r="O25" s="45">
        <f>SUM(B25:M25)</f>
        <v>0</v>
      </c>
      <c r="P25" s="45">
        <f>O25</f>
        <v>0</v>
      </c>
    </row>
    <row r="26" spans="1:16" ht="15.75" customHeight="1" x14ac:dyDescent="0.25">
      <c r="A26" s="44" t="s">
        <v>88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8"/>
      <c r="O26" s="45">
        <f>SUM(B26:M26)</f>
        <v>0</v>
      </c>
      <c r="P26" s="45">
        <f>O26</f>
        <v>0</v>
      </c>
    </row>
    <row r="27" spans="1:16" ht="15.75" customHeight="1" x14ac:dyDescent="0.25">
      <c r="A27" s="69" t="s">
        <v>124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1">
        <v>1</v>
      </c>
      <c r="M27" s="41">
        <v>1</v>
      </c>
      <c r="N27" s="48"/>
      <c r="O27" s="45"/>
      <c r="P27" s="45"/>
    </row>
    <row r="28" spans="1:16" ht="15.75" customHeight="1" x14ac:dyDescent="0.25">
      <c r="A28" s="70" t="s">
        <v>97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>
        <v>66998.360000000015</v>
      </c>
      <c r="M28" s="45">
        <v>108227.04999999999</v>
      </c>
      <c r="N28" s="48"/>
      <c r="O28" s="45">
        <f>SUM(B28:M28)</f>
        <v>175225.41</v>
      </c>
      <c r="P28" s="45">
        <f>O28</f>
        <v>175225.41</v>
      </c>
    </row>
    <row r="29" spans="1:16" ht="15.75" customHeight="1" x14ac:dyDescent="0.25">
      <c r="A29" s="70" t="s">
        <v>125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>
        <v>8039.7999999999993</v>
      </c>
      <c r="M29" s="45">
        <v>12987.250000000002</v>
      </c>
      <c r="N29" s="48"/>
      <c r="O29" s="45">
        <f>SUM(B29:M29)</f>
        <v>21027.050000000003</v>
      </c>
      <c r="P29" s="45">
        <f>O29</f>
        <v>21027.050000000003</v>
      </c>
    </row>
    <row r="30" spans="1:16" ht="15.75" customHeight="1" x14ac:dyDescent="0.25">
      <c r="A30" s="70" t="s">
        <v>88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>
        <v>1339.97</v>
      </c>
      <c r="M30" s="45">
        <v>2164.5499999999997</v>
      </c>
      <c r="N30" s="48"/>
      <c r="O30" s="45">
        <f>SUM(B30:M30)</f>
        <v>3504.5199999999995</v>
      </c>
      <c r="P30" s="45">
        <f>O30</f>
        <v>3504.5199999999995</v>
      </c>
    </row>
    <row r="31" spans="1:16" ht="15.75" customHeight="1" x14ac:dyDescent="0.25">
      <c r="B31" s="45"/>
      <c r="C31" s="45"/>
      <c r="D31" s="45"/>
      <c r="E31" s="45"/>
      <c r="F31" s="45"/>
      <c r="G31" s="45"/>
      <c r="I31" s="45"/>
      <c r="J31" s="45"/>
      <c r="K31" s="45"/>
      <c r="L31" s="45"/>
      <c r="M31" s="45"/>
      <c r="N31" s="39"/>
      <c r="O31" s="45"/>
      <c r="P31" s="45"/>
    </row>
    <row r="32" spans="1:16" ht="15.75" customHeight="1" x14ac:dyDescent="0.25">
      <c r="A32" s="53" t="s">
        <v>90</v>
      </c>
      <c r="B32" s="51"/>
      <c r="C32" s="45"/>
      <c r="D32" s="45"/>
      <c r="E32" s="51"/>
      <c r="F32" s="51"/>
      <c r="G32" s="51"/>
      <c r="I32" s="51"/>
      <c r="J32" s="51"/>
      <c r="K32" s="45"/>
      <c r="L32" s="45"/>
      <c r="M32" s="45"/>
      <c r="N32" s="48"/>
      <c r="O32" s="51"/>
      <c r="P32" s="51"/>
    </row>
    <row r="33" spans="1:16" ht="15.75" customHeight="1" x14ac:dyDescent="0.25">
      <c r="A33" s="40" t="s">
        <v>87</v>
      </c>
      <c r="B33" s="41">
        <v>164</v>
      </c>
      <c r="C33" s="41">
        <v>164</v>
      </c>
      <c r="D33" s="41">
        <v>170</v>
      </c>
      <c r="E33" s="41">
        <v>167</v>
      </c>
      <c r="F33" s="41">
        <v>169</v>
      </c>
      <c r="G33" s="41">
        <v>172.6</v>
      </c>
      <c r="H33" s="41">
        <v>175</v>
      </c>
      <c r="I33" s="41">
        <v>175</v>
      </c>
      <c r="J33" s="41">
        <v>175</v>
      </c>
      <c r="K33" s="41">
        <v>175</v>
      </c>
      <c r="L33" s="41">
        <v>175</v>
      </c>
      <c r="M33" s="41">
        <v>175</v>
      </c>
      <c r="N33" s="39"/>
      <c r="O33" s="75"/>
      <c r="P33" s="75"/>
    </row>
    <row r="34" spans="1:16" ht="15.75" customHeight="1" x14ac:dyDescent="0.25">
      <c r="A34" s="44" t="s">
        <v>97</v>
      </c>
      <c r="B34" s="45">
        <v>12513548.43</v>
      </c>
      <c r="C34" s="45">
        <v>12847903.059999999</v>
      </c>
      <c r="D34" s="45">
        <v>11744683.76</v>
      </c>
      <c r="E34" s="45">
        <v>12160140.239999998</v>
      </c>
      <c r="F34" s="45">
        <v>11964508.33</v>
      </c>
      <c r="G34" s="45">
        <v>13313451.199999999</v>
      </c>
      <c r="H34" s="45">
        <v>12688010.649999999</v>
      </c>
      <c r="I34" s="45">
        <v>13239506.59</v>
      </c>
      <c r="J34" s="45">
        <v>15377129.710000001</v>
      </c>
      <c r="K34" s="45">
        <v>14466610.41</v>
      </c>
      <c r="L34" s="45">
        <v>12540088.41</v>
      </c>
      <c r="M34" s="45">
        <v>12222406.219999999</v>
      </c>
      <c r="N34" s="48"/>
      <c r="O34" s="45">
        <f>SUM(B34:M34)</f>
        <v>155077987.00999999</v>
      </c>
      <c r="P34" s="45">
        <f>O34+577878328</f>
        <v>732956315.00999999</v>
      </c>
    </row>
    <row r="35" spans="1:16" ht="15.75" customHeight="1" x14ac:dyDescent="0.25">
      <c r="A35" s="44" t="s">
        <v>102</v>
      </c>
      <c r="B35" s="45">
        <v>1629238.35</v>
      </c>
      <c r="C35" s="45">
        <v>1676325.3</v>
      </c>
      <c r="D35" s="45">
        <v>1500471.85</v>
      </c>
      <c r="E35" s="45">
        <v>1488053.9300000002</v>
      </c>
      <c r="F35" s="45">
        <v>1435741</v>
      </c>
      <c r="G35" s="45">
        <v>1597614.1500000001</v>
      </c>
      <c r="H35" s="45">
        <v>1522561.28</v>
      </c>
      <c r="I35" s="45">
        <v>1588740.7899999998</v>
      </c>
      <c r="J35" s="45">
        <v>1845255.56</v>
      </c>
      <c r="K35" s="45">
        <v>1735993.2599999998</v>
      </c>
      <c r="L35" s="45">
        <v>1504810.6099999999</v>
      </c>
      <c r="M35" s="45">
        <v>1466688.76</v>
      </c>
      <c r="N35" s="39"/>
      <c r="O35" s="45">
        <f>SUM(B35:M35)</f>
        <v>18991494.84</v>
      </c>
      <c r="P35" s="45">
        <f>O35+78128696</f>
        <v>97120190.840000004</v>
      </c>
    </row>
    <row r="36" spans="1:16" ht="15.75" customHeight="1" x14ac:dyDescent="0.25">
      <c r="A36" s="44" t="s">
        <v>88</v>
      </c>
      <c r="B36" s="45">
        <v>250270.97</v>
      </c>
      <c r="C36" s="45">
        <v>256958.08000000002</v>
      </c>
      <c r="D36" s="45">
        <v>234893.69</v>
      </c>
      <c r="E36" s="45">
        <v>243202.82</v>
      </c>
      <c r="F36" s="45">
        <v>239290.17</v>
      </c>
      <c r="G36" s="45">
        <v>266269.03000000003</v>
      </c>
      <c r="H36" s="45">
        <v>253760.21999999997</v>
      </c>
      <c r="I36" s="45">
        <v>264790.14999999997</v>
      </c>
      <c r="J36" s="45">
        <v>307542.61</v>
      </c>
      <c r="K36" s="45">
        <v>289332.21999999997</v>
      </c>
      <c r="L36" s="45">
        <v>250801.78000000003</v>
      </c>
      <c r="M36" s="45">
        <v>244448.12999999998</v>
      </c>
      <c r="N36" s="49"/>
      <c r="O36" s="45">
        <f>SUM(B36:M36)</f>
        <v>3101559.87</v>
      </c>
      <c r="P36" s="45">
        <f>O36+11557568</f>
        <v>14659127.870000001</v>
      </c>
    </row>
    <row r="37" spans="1:16" ht="15.75" customHeight="1" x14ac:dyDescent="0.25">
      <c r="A37" s="40" t="s">
        <v>103</v>
      </c>
      <c r="B37" s="41">
        <v>46</v>
      </c>
      <c r="C37" s="41">
        <v>46</v>
      </c>
      <c r="D37" s="41">
        <v>46</v>
      </c>
      <c r="E37" s="41">
        <v>46</v>
      </c>
      <c r="F37" s="41">
        <v>46</v>
      </c>
      <c r="G37" s="41">
        <v>46</v>
      </c>
      <c r="H37" s="41">
        <v>46</v>
      </c>
      <c r="I37" s="41">
        <v>46</v>
      </c>
      <c r="J37" s="41">
        <v>46</v>
      </c>
      <c r="K37" s="41">
        <v>46</v>
      </c>
      <c r="L37" s="41">
        <v>46</v>
      </c>
      <c r="M37" s="41">
        <v>46</v>
      </c>
      <c r="N37" s="39"/>
      <c r="O37" s="75"/>
      <c r="P37" s="75"/>
    </row>
    <row r="38" spans="1:16" ht="15.75" customHeight="1" x14ac:dyDescent="0.25">
      <c r="A38" s="44" t="s">
        <v>97</v>
      </c>
      <c r="B38" s="45">
        <v>1284019.02</v>
      </c>
      <c r="C38" s="45">
        <v>1415672.26</v>
      </c>
      <c r="D38" s="45">
        <v>1162931</v>
      </c>
      <c r="E38" s="45">
        <v>1370861</v>
      </c>
      <c r="F38" s="45">
        <v>1370266.1</v>
      </c>
      <c r="G38" s="45">
        <v>1568592</v>
      </c>
      <c r="H38" s="45">
        <v>1360609</v>
      </c>
      <c r="I38" s="45">
        <v>1515995.1</v>
      </c>
      <c r="J38" s="45">
        <v>1401289.21</v>
      </c>
      <c r="K38" s="45">
        <v>1370002</v>
      </c>
      <c r="L38" s="45">
        <v>1498168</v>
      </c>
      <c r="M38" s="45">
        <v>1226022</v>
      </c>
      <c r="N38" s="47"/>
      <c r="O38" s="45">
        <f>SUM(B38:M38)</f>
        <v>16544426.690000001</v>
      </c>
      <c r="P38" s="45">
        <f>O38+75853402</f>
        <v>92397828.689999998</v>
      </c>
    </row>
    <row r="39" spans="1:16" ht="15.75" customHeight="1" x14ac:dyDescent="0.25">
      <c r="A39" s="44" t="s">
        <v>102</v>
      </c>
      <c r="B39" s="45">
        <v>154082.28</v>
      </c>
      <c r="C39" s="45">
        <v>169880.67</v>
      </c>
      <c r="D39" s="45">
        <v>139551.72</v>
      </c>
      <c r="E39" s="45">
        <v>164503.32</v>
      </c>
      <c r="F39" s="45">
        <v>164431.93000000002</v>
      </c>
      <c r="G39" s="45">
        <v>188231.03999999998</v>
      </c>
      <c r="H39" s="45">
        <v>163273.07999999999</v>
      </c>
      <c r="I39" s="45">
        <v>181919.41</v>
      </c>
      <c r="J39" s="45">
        <v>168154.69999999998</v>
      </c>
      <c r="K39" s="45">
        <v>164400.24</v>
      </c>
      <c r="L39" s="45">
        <v>179780.16</v>
      </c>
      <c r="M39" s="45">
        <v>147122.64000000001</v>
      </c>
      <c r="O39" s="45">
        <f>SUM(B39:M39)</f>
        <v>1985331.19</v>
      </c>
      <c r="P39" s="45">
        <f>O39+9654054</f>
        <v>11639385.189999999</v>
      </c>
    </row>
    <row r="40" spans="1:16" ht="15.75" customHeight="1" x14ac:dyDescent="0.25">
      <c r="A40" s="44" t="s">
        <v>88</v>
      </c>
      <c r="B40" s="45">
        <v>25680.379999999997</v>
      </c>
      <c r="C40" s="45">
        <v>28313.450000000004</v>
      </c>
      <c r="D40" s="45">
        <v>23258.62</v>
      </c>
      <c r="E40" s="45">
        <v>27417.219999999998</v>
      </c>
      <c r="F40" s="45">
        <v>27405.320000000003</v>
      </c>
      <c r="G40" s="45">
        <v>31371.839999999997</v>
      </c>
      <c r="H40" s="45">
        <v>27212.18</v>
      </c>
      <c r="I40" s="45">
        <v>30319.9</v>
      </c>
      <c r="J40" s="45">
        <v>28025.780000000002</v>
      </c>
      <c r="K40" s="45">
        <v>27400.039999999997</v>
      </c>
      <c r="L40" s="45">
        <v>29963.360000000001</v>
      </c>
      <c r="M40" s="45">
        <v>24520.440000000002</v>
      </c>
      <c r="O40" s="45">
        <f>SUM(B40:M40)</f>
        <v>330888.52999999997</v>
      </c>
      <c r="P40" s="45">
        <f>O40+1517068</f>
        <v>1847956.53</v>
      </c>
    </row>
    <row r="41" spans="1:16" ht="15.75" customHeight="1" x14ac:dyDescent="0.25">
      <c r="A41" s="40" t="s">
        <v>104</v>
      </c>
      <c r="B41" s="41">
        <v>113</v>
      </c>
      <c r="C41" s="41">
        <v>113</v>
      </c>
      <c r="D41" s="41">
        <v>113</v>
      </c>
      <c r="E41" s="41">
        <v>113</v>
      </c>
      <c r="F41" s="41">
        <v>113</v>
      </c>
      <c r="G41" s="41">
        <v>116.6</v>
      </c>
      <c r="H41" s="41">
        <v>119</v>
      </c>
      <c r="I41" s="41">
        <v>119</v>
      </c>
      <c r="J41" s="41">
        <v>119</v>
      </c>
      <c r="K41" s="41">
        <v>119</v>
      </c>
      <c r="L41" s="41">
        <v>119</v>
      </c>
      <c r="M41" s="41">
        <v>119</v>
      </c>
      <c r="N41" s="52"/>
      <c r="O41" s="75"/>
      <c r="P41" s="75"/>
    </row>
    <row r="42" spans="1:16" ht="15.75" customHeight="1" x14ac:dyDescent="0.25">
      <c r="A42" s="44" t="s">
        <v>97</v>
      </c>
      <c r="B42" s="45">
        <v>10854198.41</v>
      </c>
      <c r="C42" s="45">
        <v>11036416.300000001</v>
      </c>
      <c r="D42" s="45">
        <v>10303731.26</v>
      </c>
      <c r="E42" s="45">
        <v>10550479.859999999</v>
      </c>
      <c r="F42" s="45">
        <v>10256474.66</v>
      </c>
      <c r="G42" s="45">
        <v>11243072.6</v>
      </c>
      <c r="H42" s="45">
        <v>10869734.25</v>
      </c>
      <c r="I42" s="45">
        <v>11180302</v>
      </c>
      <c r="J42" s="45">
        <v>13462108.66</v>
      </c>
      <c r="K42" s="45">
        <v>12608471.16</v>
      </c>
      <c r="L42" s="45">
        <v>10421390.26</v>
      </c>
      <c r="M42" s="45">
        <v>10539672.25</v>
      </c>
      <c r="N42" s="46"/>
      <c r="O42" s="45">
        <f>SUM(B42:M42)</f>
        <v>133326051.67</v>
      </c>
      <c r="P42" s="45">
        <f>O42+482715220</f>
        <v>616041271.66999996</v>
      </c>
    </row>
    <row r="43" spans="1:16" ht="15.75" customHeight="1" x14ac:dyDescent="0.25">
      <c r="A43" s="44" t="s">
        <v>102</v>
      </c>
      <c r="B43" s="45">
        <v>1302503.81</v>
      </c>
      <c r="C43" s="45">
        <v>1324369.96</v>
      </c>
      <c r="D43" s="45">
        <v>1236447.75</v>
      </c>
      <c r="E43" s="45">
        <v>1266057.58</v>
      </c>
      <c r="F43" s="45">
        <v>1230776.96</v>
      </c>
      <c r="G43" s="45">
        <v>1349168.7200000002</v>
      </c>
      <c r="H43" s="45">
        <v>1304368.1100000001</v>
      </c>
      <c r="I43" s="45">
        <v>1341636.24</v>
      </c>
      <c r="J43" s="45">
        <v>1615453.04</v>
      </c>
      <c r="K43" s="45">
        <v>1513016.54</v>
      </c>
      <c r="L43" s="45">
        <v>1250566.8299999998</v>
      </c>
      <c r="M43" s="45">
        <v>1264760.6700000002</v>
      </c>
      <c r="N43" s="47"/>
      <c r="O43" s="45">
        <f>SUM(B43:M43)</f>
        <v>15999126.209999997</v>
      </c>
      <c r="P43" s="45">
        <f>O43+61407429</f>
        <v>77406555.209999993</v>
      </c>
    </row>
    <row r="44" spans="1:16" ht="15.75" customHeight="1" x14ac:dyDescent="0.25">
      <c r="A44" s="44" t="s">
        <v>88</v>
      </c>
      <c r="B44" s="45">
        <v>217083.97</v>
      </c>
      <c r="C44" s="45">
        <v>220728.34</v>
      </c>
      <c r="D44" s="45">
        <v>206074.64</v>
      </c>
      <c r="E44" s="45">
        <v>211009.61</v>
      </c>
      <c r="F44" s="45">
        <v>205129.5</v>
      </c>
      <c r="G44" s="45">
        <v>224861.45999999996</v>
      </c>
      <c r="H44" s="45">
        <v>217394.69</v>
      </c>
      <c r="I44" s="45">
        <v>223606.06000000003</v>
      </c>
      <c r="J44" s="45">
        <v>269242.19</v>
      </c>
      <c r="K44" s="45">
        <v>252169.43000000002</v>
      </c>
      <c r="L44" s="45">
        <v>208427.82</v>
      </c>
      <c r="M44" s="45">
        <v>210793.46000000002</v>
      </c>
      <c r="N44" s="47"/>
      <c r="O44" s="45">
        <f>SUM(B44:M44)</f>
        <v>2666521.17</v>
      </c>
      <c r="P44" s="45">
        <f>O44+9654305</f>
        <v>12320826.17</v>
      </c>
    </row>
    <row r="45" spans="1:16" ht="15.75" customHeight="1" x14ac:dyDescent="0.25">
      <c r="A45" s="40" t="s">
        <v>105</v>
      </c>
      <c r="B45" s="41">
        <v>0</v>
      </c>
      <c r="C45" s="41">
        <v>0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39"/>
      <c r="O45" s="75"/>
      <c r="P45" s="75"/>
    </row>
    <row r="46" spans="1:16" ht="15.75" customHeight="1" x14ac:dyDescent="0.25">
      <c r="A46" s="44" t="s">
        <v>97</v>
      </c>
      <c r="B46" s="45"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8"/>
      <c r="O46" s="45">
        <f>SUM(B46:M46)</f>
        <v>0</v>
      </c>
      <c r="P46" s="45">
        <f>O46+5888459</f>
        <v>5888459</v>
      </c>
    </row>
    <row r="47" spans="1:16" ht="15.75" customHeight="1" x14ac:dyDescent="0.25">
      <c r="A47" s="44" t="s">
        <v>102</v>
      </c>
      <c r="B47" s="45">
        <v>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39"/>
      <c r="O47" s="45">
        <f>SUM(B47:M47)</f>
        <v>0</v>
      </c>
      <c r="P47" s="45">
        <f>O47+824384</f>
        <v>824384</v>
      </c>
    </row>
    <row r="48" spans="1:16" ht="15.75" customHeight="1" x14ac:dyDescent="0.25">
      <c r="A48" s="44" t="s">
        <v>88</v>
      </c>
      <c r="B48" s="45">
        <v>0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8"/>
      <c r="O48" s="45">
        <f>SUM(B48:M48)</f>
        <v>0</v>
      </c>
      <c r="P48" s="45">
        <f>O48+117769</f>
        <v>117769</v>
      </c>
    </row>
    <row r="49" spans="1:16" ht="15.75" customHeight="1" x14ac:dyDescent="0.25">
      <c r="A49" s="40" t="s">
        <v>106</v>
      </c>
      <c r="B49" s="41">
        <v>5</v>
      </c>
      <c r="C49" s="41">
        <v>5</v>
      </c>
      <c r="D49" s="41">
        <v>5</v>
      </c>
      <c r="E49" s="41">
        <v>1.6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39"/>
      <c r="O49" s="75"/>
      <c r="P49" s="75"/>
    </row>
    <row r="50" spans="1:16" ht="15.75" customHeight="1" x14ac:dyDescent="0.25">
      <c r="A50" s="44" t="s">
        <v>97</v>
      </c>
      <c r="B50" s="45">
        <v>375331</v>
      </c>
      <c r="C50" s="45">
        <v>395814.5</v>
      </c>
      <c r="D50" s="45">
        <v>267970</v>
      </c>
      <c r="E50" s="45">
        <v>84815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9"/>
      <c r="O50" s="45">
        <f>SUM(B50:M50)</f>
        <v>1123930.5</v>
      </c>
      <c r="P50" s="45">
        <f>O50+13421249</f>
        <v>14545179.5</v>
      </c>
    </row>
    <row r="51" spans="1:16" ht="15.75" customHeight="1" x14ac:dyDescent="0.25">
      <c r="A51" s="44" t="s">
        <v>102</v>
      </c>
      <c r="B51" s="45">
        <v>172652.26</v>
      </c>
      <c r="C51" s="45">
        <v>182074.66999999998</v>
      </c>
      <c r="D51" s="45">
        <v>123266.19999999998</v>
      </c>
      <c r="E51" s="45">
        <v>39014.9</v>
      </c>
      <c r="F51" s="45">
        <v>0</v>
      </c>
      <c r="G51" s="45">
        <v>0</v>
      </c>
      <c r="H51" s="45">
        <v>0</v>
      </c>
      <c r="I51" s="45">
        <v>0</v>
      </c>
      <c r="J51" s="45">
        <v>0</v>
      </c>
      <c r="K51" s="45">
        <v>0</v>
      </c>
      <c r="L51" s="45">
        <v>0</v>
      </c>
      <c r="M51" s="45">
        <v>0</v>
      </c>
      <c r="N51" s="39"/>
      <c r="O51" s="45">
        <f>SUM(B51:M51)</f>
        <v>517008.03</v>
      </c>
      <c r="P51" s="45">
        <f>O51+6242828</f>
        <v>6759836.0300000003</v>
      </c>
    </row>
    <row r="52" spans="1:16" ht="15.75" customHeight="1" x14ac:dyDescent="0.25">
      <c r="A52" s="44" t="s">
        <v>88</v>
      </c>
      <c r="B52" s="45">
        <v>7506.62</v>
      </c>
      <c r="C52" s="45">
        <v>7916.29</v>
      </c>
      <c r="D52" s="45">
        <v>5359.4</v>
      </c>
      <c r="E52" s="45">
        <v>1696.3000000000002</v>
      </c>
      <c r="F52" s="45">
        <v>0</v>
      </c>
      <c r="G52" s="45">
        <v>0</v>
      </c>
      <c r="H52" s="45">
        <v>0</v>
      </c>
      <c r="I52" s="45">
        <v>0</v>
      </c>
      <c r="J52" s="45">
        <v>0</v>
      </c>
      <c r="K52" s="45">
        <v>0</v>
      </c>
      <c r="L52" s="45">
        <v>0</v>
      </c>
      <c r="M52" s="45">
        <v>0</v>
      </c>
      <c r="N52" s="47"/>
      <c r="O52" s="45">
        <f>SUM(B52:M52)</f>
        <v>22478.609999999997</v>
      </c>
      <c r="P52" s="45">
        <f>O52+268425</f>
        <v>290903.61</v>
      </c>
    </row>
    <row r="53" spans="1:16" ht="15.75" customHeight="1" x14ac:dyDescent="0.25">
      <c r="A53" s="69" t="s">
        <v>124</v>
      </c>
      <c r="B53" s="45"/>
      <c r="C53" s="45"/>
      <c r="D53" s="41">
        <v>6</v>
      </c>
      <c r="E53" s="41">
        <v>6.4</v>
      </c>
      <c r="F53" s="41">
        <v>10</v>
      </c>
      <c r="G53" s="41">
        <v>10</v>
      </c>
      <c r="H53" s="41">
        <v>10</v>
      </c>
      <c r="I53" s="41">
        <v>10</v>
      </c>
      <c r="J53" s="41">
        <v>10</v>
      </c>
      <c r="K53" s="41">
        <v>10</v>
      </c>
      <c r="L53" s="41">
        <v>10</v>
      </c>
      <c r="M53" s="41">
        <v>10</v>
      </c>
      <c r="N53" s="47"/>
      <c r="O53" s="45"/>
      <c r="P53" s="45"/>
    </row>
    <row r="54" spans="1:16" ht="15.75" customHeight="1" x14ac:dyDescent="0.25">
      <c r="A54" s="70" t="s">
        <v>97</v>
      </c>
      <c r="B54" s="45"/>
      <c r="C54" s="45"/>
      <c r="D54" s="45">
        <v>10051.5</v>
      </c>
      <c r="E54" s="45">
        <v>153984.38</v>
      </c>
      <c r="F54" s="45">
        <v>337767.56999999995</v>
      </c>
      <c r="G54" s="45">
        <v>501786.6</v>
      </c>
      <c r="H54" s="45">
        <v>457667.39999999997</v>
      </c>
      <c r="I54" s="45">
        <v>543209.49</v>
      </c>
      <c r="J54" s="45">
        <v>513731.84000000003</v>
      </c>
      <c r="K54" s="45">
        <v>488137.25</v>
      </c>
      <c r="L54" s="45">
        <v>620530.14999999991</v>
      </c>
      <c r="M54" s="45">
        <v>456711.97</v>
      </c>
      <c r="N54" s="47"/>
      <c r="O54" s="45">
        <f>SUM(B54:M54)</f>
        <v>4083578.1499999994</v>
      </c>
      <c r="P54" s="45">
        <f>O54</f>
        <v>4083578.1499999994</v>
      </c>
    </row>
    <row r="55" spans="1:16" ht="15.75" customHeight="1" x14ac:dyDescent="0.25">
      <c r="A55" s="70" t="s">
        <v>125</v>
      </c>
      <c r="B55" s="45"/>
      <c r="C55" s="45"/>
      <c r="D55" s="45">
        <v>1206.18</v>
      </c>
      <c r="E55" s="45">
        <v>18478.13</v>
      </c>
      <c r="F55" s="45">
        <v>40532.109999999993</v>
      </c>
      <c r="G55" s="45">
        <v>60214.39</v>
      </c>
      <c r="H55" s="45">
        <v>54920.09</v>
      </c>
      <c r="I55" s="45">
        <v>65185.14</v>
      </c>
      <c r="J55" s="45">
        <v>61647.819999999992</v>
      </c>
      <c r="K55" s="45">
        <v>58576.479999999996</v>
      </c>
      <c r="L55" s="45">
        <v>74463.62</v>
      </c>
      <c r="M55" s="45">
        <v>54805.45</v>
      </c>
      <c r="N55" s="47"/>
      <c r="O55" s="45">
        <f>SUM(B55:M55)</f>
        <v>490029.41</v>
      </c>
      <c r="P55" s="45">
        <f>O55</f>
        <v>490029.41</v>
      </c>
    </row>
    <row r="56" spans="1:16" ht="15.75" customHeight="1" x14ac:dyDescent="0.25">
      <c r="A56" s="70" t="s">
        <v>88</v>
      </c>
      <c r="B56" s="45"/>
      <c r="C56" s="45"/>
      <c r="D56" s="45">
        <v>201.03</v>
      </c>
      <c r="E56" s="45">
        <v>3079.6899999999996</v>
      </c>
      <c r="F56" s="45">
        <v>6755.3499999999995</v>
      </c>
      <c r="G56" s="45">
        <v>10035.73</v>
      </c>
      <c r="H56" s="45">
        <v>9153.35</v>
      </c>
      <c r="I56" s="45">
        <v>10864.19</v>
      </c>
      <c r="J56" s="45">
        <v>10274.640000000001</v>
      </c>
      <c r="K56" s="45">
        <v>9762.75</v>
      </c>
      <c r="L56" s="45">
        <v>12410.6</v>
      </c>
      <c r="M56" s="45">
        <v>9134.23</v>
      </c>
      <c r="N56" s="47"/>
      <c r="O56" s="45">
        <f>SUM(B56:M56)</f>
        <v>81671.56</v>
      </c>
      <c r="P56" s="45">
        <f>O56</f>
        <v>81671.56</v>
      </c>
    </row>
    <row r="57" spans="1:16" ht="15.75" customHeight="1" x14ac:dyDescent="0.25">
      <c r="A57" s="53"/>
      <c r="B57" s="45"/>
      <c r="C57" s="45"/>
      <c r="D57" s="45" t="s">
        <v>123</v>
      </c>
      <c r="E57" s="45"/>
      <c r="F57" s="45"/>
      <c r="G57" s="45"/>
      <c r="I57" s="45"/>
      <c r="J57" s="45"/>
      <c r="K57" s="45"/>
      <c r="L57" s="45"/>
      <c r="M57" s="45"/>
      <c r="N57" s="39"/>
      <c r="O57" s="45"/>
      <c r="P57" s="45"/>
    </row>
    <row r="58" spans="1:16" ht="15.75" customHeight="1" x14ac:dyDescent="0.25">
      <c r="A58" s="53" t="s">
        <v>108</v>
      </c>
      <c r="B58" s="45"/>
      <c r="C58" s="45"/>
      <c r="D58" s="45"/>
      <c r="E58" s="45"/>
      <c r="F58" s="45"/>
      <c r="G58" s="45"/>
      <c r="I58" s="45"/>
      <c r="J58" s="45"/>
      <c r="K58" s="45"/>
      <c r="L58" s="45"/>
      <c r="M58" s="45"/>
      <c r="N58" s="47"/>
      <c r="O58" s="45"/>
      <c r="P58" s="45"/>
    </row>
    <row r="59" spans="1:16" ht="15.75" customHeight="1" x14ac:dyDescent="0.25">
      <c r="A59" s="40" t="s">
        <v>87</v>
      </c>
      <c r="B59" s="41">
        <v>116</v>
      </c>
      <c r="C59" s="41">
        <v>116</v>
      </c>
      <c r="D59" s="41">
        <v>116</v>
      </c>
      <c r="E59" s="41">
        <v>116</v>
      </c>
      <c r="F59" s="41">
        <v>115</v>
      </c>
      <c r="G59" s="41">
        <v>105</v>
      </c>
      <c r="H59" s="41">
        <v>105</v>
      </c>
      <c r="I59" s="41">
        <v>106</v>
      </c>
      <c r="J59" s="41">
        <v>107</v>
      </c>
      <c r="K59" s="41">
        <v>107</v>
      </c>
      <c r="L59" s="41">
        <v>107</v>
      </c>
      <c r="M59" s="41">
        <v>107</v>
      </c>
      <c r="N59" s="49"/>
      <c r="O59" s="75"/>
      <c r="P59" s="75"/>
    </row>
    <row r="60" spans="1:16" ht="15.75" customHeight="1" x14ac:dyDescent="0.25">
      <c r="A60" s="44" t="s">
        <v>97</v>
      </c>
      <c r="B60" s="45">
        <v>5482862.8599999994</v>
      </c>
      <c r="C60" s="45">
        <v>5222247.3199999994</v>
      </c>
      <c r="D60" s="45">
        <v>4872950.49</v>
      </c>
      <c r="E60" s="45">
        <v>6620080.6200000001</v>
      </c>
      <c r="F60" s="45">
        <v>5470666.8299999991</v>
      </c>
      <c r="G60" s="45">
        <v>6817839.2800000003</v>
      </c>
      <c r="H60" s="45">
        <v>4969493.26</v>
      </c>
      <c r="I60" s="45">
        <v>5025713.959999999</v>
      </c>
      <c r="J60" s="45">
        <v>6949071.3700000001</v>
      </c>
      <c r="K60" s="45">
        <v>5412380.0299999993</v>
      </c>
      <c r="L60" s="45">
        <v>5814570.1499999994</v>
      </c>
      <c r="M60" s="45">
        <v>5145050.74</v>
      </c>
      <c r="O60" s="45">
        <f>SUM(B60:M60)</f>
        <v>67802926.909999996</v>
      </c>
      <c r="P60" s="45">
        <f>O60+372022453</f>
        <v>439825379.90999997</v>
      </c>
    </row>
    <row r="61" spans="1:16" ht="15.75" customHeight="1" x14ac:dyDescent="0.25">
      <c r="A61" s="44" t="s">
        <v>102</v>
      </c>
      <c r="B61" s="45">
        <v>735087</v>
      </c>
      <c r="C61" s="45">
        <v>679086.12</v>
      </c>
      <c r="D61" s="45">
        <v>647102.39999999991</v>
      </c>
      <c r="E61" s="45">
        <v>837159.4</v>
      </c>
      <c r="F61" s="45">
        <v>709483.47</v>
      </c>
      <c r="G61" s="45">
        <v>847168.37</v>
      </c>
      <c r="H61" s="45">
        <v>641542.69999999995</v>
      </c>
      <c r="I61" s="45">
        <v>657811.90999999992</v>
      </c>
      <c r="J61" s="45">
        <v>890798.60999999987</v>
      </c>
      <c r="K61" s="45">
        <v>706711</v>
      </c>
      <c r="L61" s="45">
        <v>746265.05000000016</v>
      </c>
      <c r="M61" s="45">
        <v>654127.29</v>
      </c>
      <c r="N61" s="52"/>
      <c r="O61" s="45">
        <f>SUM(B61:M61)</f>
        <v>8752343.3200000003</v>
      </c>
      <c r="P61" s="45">
        <f>O61+49714035</f>
        <v>58466378.32</v>
      </c>
    </row>
    <row r="62" spans="1:16" ht="15.75" customHeight="1" x14ac:dyDescent="0.25">
      <c r="A62" s="44" t="s">
        <v>88</v>
      </c>
      <c r="B62" s="45">
        <v>109657.27000000002</v>
      </c>
      <c r="C62" s="45">
        <v>104444.94</v>
      </c>
      <c r="D62" s="45">
        <v>97459.01</v>
      </c>
      <c r="E62" s="45">
        <v>132401.61000000002</v>
      </c>
      <c r="F62" s="45">
        <v>109413.33</v>
      </c>
      <c r="G62" s="45">
        <v>136356.79999999999</v>
      </c>
      <c r="H62" s="45">
        <v>99389.87</v>
      </c>
      <c r="I62" s="45">
        <v>100514.28</v>
      </c>
      <c r="J62" s="45">
        <v>138981.41</v>
      </c>
      <c r="K62" s="45">
        <v>108247.59</v>
      </c>
      <c r="L62" s="45">
        <v>116291.40000000001</v>
      </c>
      <c r="M62" s="45">
        <v>102901.01</v>
      </c>
      <c r="N62" s="46"/>
      <c r="O62" s="45">
        <f>SUM(B62:M62)</f>
        <v>1356058.52</v>
      </c>
      <c r="P62" s="45">
        <f>O62+7440449</f>
        <v>8796507.5199999996</v>
      </c>
    </row>
    <row r="63" spans="1:16" ht="15.75" customHeight="1" x14ac:dyDescent="0.25">
      <c r="A63" s="40" t="s">
        <v>103</v>
      </c>
      <c r="B63" s="41">
        <v>28</v>
      </c>
      <c r="C63" s="41">
        <v>28</v>
      </c>
      <c r="D63" s="41">
        <v>28</v>
      </c>
      <c r="E63" s="41">
        <v>28</v>
      </c>
      <c r="F63" s="41">
        <v>28</v>
      </c>
      <c r="G63" s="41">
        <v>28</v>
      </c>
      <c r="H63" s="41">
        <v>28</v>
      </c>
      <c r="I63" s="41">
        <v>28</v>
      </c>
      <c r="J63" s="41">
        <v>28</v>
      </c>
      <c r="K63" s="41">
        <v>28</v>
      </c>
      <c r="L63" s="41">
        <v>28</v>
      </c>
      <c r="M63" s="41">
        <v>28</v>
      </c>
      <c r="N63" s="47"/>
      <c r="O63" s="75"/>
      <c r="P63" s="75"/>
    </row>
    <row r="64" spans="1:16" ht="15.75" customHeight="1" x14ac:dyDescent="0.25">
      <c r="A64" s="44" t="s">
        <v>97</v>
      </c>
      <c r="B64" s="45">
        <v>622239</v>
      </c>
      <c r="C64" s="45">
        <v>549531</v>
      </c>
      <c r="D64" s="45">
        <v>525031</v>
      </c>
      <c r="E64" s="45">
        <v>552776</v>
      </c>
      <c r="F64" s="45">
        <v>518662</v>
      </c>
      <c r="G64" s="45">
        <v>476645</v>
      </c>
      <c r="H64" s="45">
        <v>470269</v>
      </c>
      <c r="I64" s="45">
        <v>560848</v>
      </c>
      <c r="J64" s="45">
        <v>500046</v>
      </c>
      <c r="K64" s="45">
        <v>435022</v>
      </c>
      <c r="L64" s="45">
        <v>501227</v>
      </c>
      <c r="M64" s="45">
        <v>445490</v>
      </c>
      <c r="N64" s="47"/>
      <c r="O64" s="45">
        <f>SUM(B64:M64)</f>
        <v>6157786</v>
      </c>
      <c r="P64" s="45">
        <f>O64+45807943</f>
        <v>51965729</v>
      </c>
    </row>
    <row r="65" spans="1:16" ht="15.75" customHeight="1" x14ac:dyDescent="0.25">
      <c r="A65" s="44" t="s">
        <v>102</v>
      </c>
      <c r="B65" s="45">
        <v>74668.680000000008</v>
      </c>
      <c r="C65" s="45">
        <v>65943.72</v>
      </c>
      <c r="D65" s="45">
        <v>63003.72</v>
      </c>
      <c r="E65" s="45">
        <v>66333.119999999995</v>
      </c>
      <c r="F65" s="45">
        <v>62239.44</v>
      </c>
      <c r="G65" s="45">
        <v>57197.399999999994</v>
      </c>
      <c r="H65" s="45">
        <v>56432.28</v>
      </c>
      <c r="I65" s="45">
        <v>67301.759999999995</v>
      </c>
      <c r="J65" s="45">
        <v>60005.520000000004</v>
      </c>
      <c r="K65" s="45">
        <v>52202.64</v>
      </c>
      <c r="L65" s="45">
        <v>60147.24</v>
      </c>
      <c r="M65" s="45">
        <v>53458.8</v>
      </c>
      <c r="N65" s="39"/>
      <c r="O65" s="45">
        <f>SUM(B65:M65)</f>
        <v>738934.32000000007</v>
      </c>
      <c r="P65" s="45">
        <f>O65+5893962</f>
        <v>6632896.3200000003</v>
      </c>
    </row>
    <row r="66" spans="1:16" ht="15.75" customHeight="1" x14ac:dyDescent="0.25">
      <c r="A66" s="44" t="s">
        <v>88</v>
      </c>
      <c r="B66" s="45">
        <v>12444.78</v>
      </c>
      <c r="C66" s="45">
        <v>10990.620000000003</v>
      </c>
      <c r="D66" s="45">
        <v>10500.62</v>
      </c>
      <c r="E66" s="45">
        <v>11055.519999999999</v>
      </c>
      <c r="F66" s="45">
        <v>10373.24</v>
      </c>
      <c r="G66" s="45">
        <v>9532.9000000000015</v>
      </c>
      <c r="H66" s="45">
        <v>9405.3799999999992</v>
      </c>
      <c r="I66" s="45">
        <v>11216.960000000001</v>
      </c>
      <c r="J66" s="45">
        <v>10000.92</v>
      </c>
      <c r="K66" s="45">
        <v>8700.44</v>
      </c>
      <c r="L66" s="45">
        <v>10024.539999999999</v>
      </c>
      <c r="M66" s="45">
        <v>8909.7999999999993</v>
      </c>
      <c r="N66" s="48"/>
      <c r="O66" s="45">
        <f>SUM(B66:M66)</f>
        <v>123155.72</v>
      </c>
      <c r="P66" s="45">
        <f>O66+916159</f>
        <v>1039314.72</v>
      </c>
    </row>
    <row r="67" spans="1:16" ht="15.75" customHeight="1" x14ac:dyDescent="0.25">
      <c r="A67" s="40" t="s">
        <v>104</v>
      </c>
      <c r="B67" s="41">
        <v>84</v>
      </c>
      <c r="C67" s="41">
        <v>84</v>
      </c>
      <c r="D67" s="41">
        <v>84</v>
      </c>
      <c r="E67" s="41">
        <v>84</v>
      </c>
      <c r="F67" s="41">
        <v>83</v>
      </c>
      <c r="G67" s="41">
        <v>71</v>
      </c>
      <c r="H67" s="41">
        <v>71</v>
      </c>
      <c r="I67" s="41">
        <v>71.8</v>
      </c>
      <c r="J67" s="41">
        <v>73</v>
      </c>
      <c r="K67" s="41">
        <v>73</v>
      </c>
      <c r="L67" s="41">
        <v>73</v>
      </c>
      <c r="M67" s="41">
        <v>73</v>
      </c>
      <c r="N67" s="39"/>
      <c r="O67" s="75"/>
      <c r="P67" s="75"/>
    </row>
    <row r="68" spans="1:16" ht="15.75" customHeight="1" x14ac:dyDescent="0.25">
      <c r="A68" s="44" t="s">
        <v>97</v>
      </c>
      <c r="B68" s="45">
        <v>4633731.3599999994</v>
      </c>
      <c r="C68" s="45">
        <v>4518550.3199999994</v>
      </c>
      <c r="D68" s="45">
        <v>4164541.9899999998</v>
      </c>
      <c r="E68" s="45">
        <v>5941570.1200000001</v>
      </c>
      <c r="F68" s="45">
        <v>4796112.3299999991</v>
      </c>
      <c r="G68" s="45">
        <v>6232985.1200000001</v>
      </c>
      <c r="H68" s="45">
        <v>4348095.62</v>
      </c>
      <c r="I68" s="45">
        <v>4245140.09</v>
      </c>
      <c r="J68" s="45">
        <v>6174386.7200000007</v>
      </c>
      <c r="K68" s="45">
        <v>4718639.91</v>
      </c>
      <c r="L68" s="45">
        <v>5067806.4799999995</v>
      </c>
      <c r="M68" s="45">
        <v>4473378.4400000004</v>
      </c>
      <c r="N68" s="48"/>
      <c r="O68" s="45">
        <f>SUM(B68:M68)</f>
        <v>59314938.499999993</v>
      </c>
      <c r="P68" s="45">
        <f>O68+320418565</f>
        <v>379733503.5</v>
      </c>
    </row>
    <row r="69" spans="1:16" ht="15.75" customHeight="1" x14ac:dyDescent="0.25">
      <c r="A69" s="44" t="s">
        <v>102</v>
      </c>
      <c r="B69" s="45">
        <v>556047.77</v>
      </c>
      <c r="C69" s="45">
        <v>542226.04</v>
      </c>
      <c r="D69" s="45">
        <v>499745.03</v>
      </c>
      <c r="E69" s="45">
        <v>712988.40999999992</v>
      </c>
      <c r="F69" s="45">
        <v>575533.48</v>
      </c>
      <c r="G69" s="45">
        <v>747958.2</v>
      </c>
      <c r="H69" s="45">
        <v>521771.48</v>
      </c>
      <c r="I69" s="45">
        <v>509416.82</v>
      </c>
      <c r="J69" s="45">
        <v>740926.4</v>
      </c>
      <c r="K69" s="45">
        <v>566236.78</v>
      </c>
      <c r="L69" s="45">
        <v>608136.77</v>
      </c>
      <c r="M69" s="45">
        <v>536805.42000000004</v>
      </c>
      <c r="N69" s="39"/>
      <c r="O69" s="45">
        <f>SUM(B69:M69)</f>
        <v>7117792.5999999996</v>
      </c>
      <c r="P69" s="45">
        <f>O69+41139252</f>
        <v>48257044.600000001</v>
      </c>
    </row>
    <row r="70" spans="1:16" ht="15.75" customHeight="1" x14ac:dyDescent="0.25">
      <c r="A70" s="44" t="s">
        <v>88</v>
      </c>
      <c r="B70" s="45">
        <v>92674.64</v>
      </c>
      <c r="C70" s="45">
        <v>90371.000000000015</v>
      </c>
      <c r="D70" s="45">
        <v>83290.84</v>
      </c>
      <c r="E70" s="45">
        <v>118831.40000000001</v>
      </c>
      <c r="F70" s="45">
        <v>95922.240000000005</v>
      </c>
      <c r="G70" s="45">
        <v>124659.70999999999</v>
      </c>
      <c r="H70" s="45">
        <v>86961.91</v>
      </c>
      <c r="I70" s="45">
        <v>84902.8</v>
      </c>
      <c r="J70" s="45">
        <v>123487.72</v>
      </c>
      <c r="K70" s="45">
        <v>94372.790000000008</v>
      </c>
      <c r="L70" s="45">
        <v>101356.12</v>
      </c>
      <c r="M70" s="45">
        <v>89467.56</v>
      </c>
      <c r="N70" s="49"/>
      <c r="O70" s="45">
        <f>SUM(B70:M70)</f>
        <v>1186298.73</v>
      </c>
      <c r="P70" s="45">
        <f>O70+6408372</f>
        <v>7594670.7300000004</v>
      </c>
    </row>
    <row r="71" spans="1:16" ht="15.75" customHeight="1" x14ac:dyDescent="0.25">
      <c r="A71" s="40" t="s">
        <v>105</v>
      </c>
      <c r="B71" s="41">
        <v>0</v>
      </c>
      <c r="C71" s="41">
        <v>0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39"/>
      <c r="O71" s="75"/>
      <c r="P71" s="75"/>
    </row>
    <row r="72" spans="1:16" ht="15.75" customHeight="1" x14ac:dyDescent="0.25">
      <c r="A72" s="44" t="s">
        <v>97</v>
      </c>
      <c r="B72" s="45">
        <v>0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5">
        <v>0</v>
      </c>
      <c r="M72" s="45">
        <v>0</v>
      </c>
      <c r="N72" s="47"/>
      <c r="O72" s="45">
        <f>SUM(B72:M72)</f>
        <v>0</v>
      </c>
      <c r="P72" s="45">
        <f>O72</f>
        <v>0</v>
      </c>
    </row>
    <row r="73" spans="1:16" ht="15.75" customHeight="1" x14ac:dyDescent="0.25">
      <c r="A73" s="44" t="s">
        <v>102</v>
      </c>
      <c r="B73" s="45">
        <v>0</v>
      </c>
      <c r="C73" s="45">
        <v>0</v>
      </c>
      <c r="D73" s="45">
        <v>0</v>
      </c>
      <c r="E73" s="45">
        <v>0</v>
      </c>
      <c r="F73" s="45">
        <v>0</v>
      </c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45">
        <v>0</v>
      </c>
      <c r="M73" s="45">
        <v>0</v>
      </c>
      <c r="N73" s="54"/>
      <c r="O73" s="45">
        <f>SUM(B73:M73)</f>
        <v>0</v>
      </c>
      <c r="P73" s="45">
        <f>O73</f>
        <v>0</v>
      </c>
    </row>
    <row r="74" spans="1:16" ht="15.75" customHeight="1" x14ac:dyDescent="0.25">
      <c r="A74" s="44" t="s">
        <v>88</v>
      </c>
      <c r="B74" s="45">
        <v>0</v>
      </c>
      <c r="C74" s="45">
        <v>0</v>
      </c>
      <c r="D74" s="45">
        <v>0</v>
      </c>
      <c r="E74" s="45">
        <v>0</v>
      </c>
      <c r="F74" s="45">
        <v>0</v>
      </c>
      <c r="G74" s="45">
        <v>0</v>
      </c>
      <c r="H74" s="45">
        <v>0</v>
      </c>
      <c r="I74" s="45">
        <v>0</v>
      </c>
      <c r="J74" s="45">
        <v>0</v>
      </c>
      <c r="K74" s="45">
        <v>0</v>
      </c>
      <c r="L74" s="45">
        <v>0</v>
      </c>
      <c r="M74" s="45">
        <v>0</v>
      </c>
      <c r="N74" s="48"/>
      <c r="O74" s="45">
        <f>SUM(B74:M74)</f>
        <v>0</v>
      </c>
      <c r="P74" s="45">
        <f>O74</f>
        <v>0</v>
      </c>
    </row>
    <row r="75" spans="1:16" ht="15.75" customHeight="1" x14ac:dyDescent="0.25">
      <c r="A75" s="40" t="s">
        <v>106</v>
      </c>
      <c r="B75" s="41">
        <v>4</v>
      </c>
      <c r="C75" s="41">
        <v>4</v>
      </c>
      <c r="D75" s="41">
        <v>4</v>
      </c>
      <c r="E75" s="41">
        <v>4</v>
      </c>
      <c r="F75" s="41">
        <v>4</v>
      </c>
      <c r="G75" s="41">
        <v>4</v>
      </c>
      <c r="H75" s="41">
        <v>4</v>
      </c>
      <c r="I75" s="41">
        <v>4</v>
      </c>
      <c r="J75" s="41">
        <v>4</v>
      </c>
      <c r="K75" s="41">
        <v>4</v>
      </c>
      <c r="L75" s="41">
        <v>4</v>
      </c>
      <c r="M75" s="41">
        <v>4</v>
      </c>
      <c r="N75" s="52"/>
      <c r="O75" s="75"/>
      <c r="P75" s="75"/>
    </row>
    <row r="76" spans="1:16" ht="15.75" customHeight="1" x14ac:dyDescent="0.25">
      <c r="A76" s="44" t="s">
        <v>97</v>
      </c>
      <c r="B76" s="45">
        <v>226892.5</v>
      </c>
      <c r="C76" s="45">
        <v>154166</v>
      </c>
      <c r="D76" s="45">
        <v>183377.5</v>
      </c>
      <c r="E76" s="45">
        <v>125734.5</v>
      </c>
      <c r="F76" s="45">
        <v>155892.5</v>
      </c>
      <c r="G76" s="45">
        <v>85375.5</v>
      </c>
      <c r="H76" s="45">
        <v>132951.5</v>
      </c>
      <c r="I76" s="45">
        <v>160959.5</v>
      </c>
      <c r="J76" s="45">
        <v>167382.5</v>
      </c>
      <c r="K76" s="45">
        <v>168310</v>
      </c>
      <c r="L76" s="45">
        <v>142696</v>
      </c>
      <c r="M76" s="45">
        <v>108003.5</v>
      </c>
      <c r="N76" s="46"/>
      <c r="O76" s="45">
        <f>SUM(B76:M76)</f>
        <v>1811741.5</v>
      </c>
      <c r="P76" s="45">
        <f>O76+5795945</f>
        <v>7607686.5</v>
      </c>
    </row>
    <row r="77" spans="1:16" ht="15.75" customHeight="1" x14ac:dyDescent="0.25">
      <c r="A77" s="44" t="s">
        <v>102</v>
      </c>
      <c r="B77" s="45">
        <v>104370.55</v>
      </c>
      <c r="C77" s="45">
        <v>70916.360000000015</v>
      </c>
      <c r="D77" s="45">
        <v>84353.65</v>
      </c>
      <c r="E77" s="45">
        <v>57837.869999999995</v>
      </c>
      <c r="F77" s="45">
        <v>71710.549999999988</v>
      </c>
      <c r="G77" s="45">
        <v>39272.729999999996</v>
      </c>
      <c r="H77" s="45">
        <v>61157.69</v>
      </c>
      <c r="I77" s="45">
        <v>74041.37000000001</v>
      </c>
      <c r="J77" s="45">
        <v>76995.950000000012</v>
      </c>
      <c r="K77" s="45">
        <v>77422.599999999991</v>
      </c>
      <c r="L77" s="45">
        <v>65640.160000000003</v>
      </c>
      <c r="M77" s="45">
        <v>49681.61</v>
      </c>
      <c r="N77" s="47"/>
      <c r="O77" s="45">
        <f>SUM(B77:M77)</f>
        <v>833401.09</v>
      </c>
      <c r="P77" s="45">
        <f>O77+2680820</f>
        <v>3514221.09</v>
      </c>
    </row>
    <row r="78" spans="1:16" ht="15.75" customHeight="1" x14ac:dyDescent="0.25">
      <c r="A78" s="44" t="s">
        <v>88</v>
      </c>
      <c r="B78" s="45">
        <v>4537.8500000000004</v>
      </c>
      <c r="C78" s="45">
        <v>3083.3199999999997</v>
      </c>
      <c r="D78" s="45">
        <v>3667.55</v>
      </c>
      <c r="E78" s="45">
        <v>2514.69</v>
      </c>
      <c r="F78" s="45">
        <v>3117.8500000000004</v>
      </c>
      <c r="G78" s="45">
        <v>1707.51</v>
      </c>
      <c r="H78" s="45">
        <v>2659.0299999999997</v>
      </c>
      <c r="I78" s="45">
        <v>3219.19</v>
      </c>
      <c r="J78" s="45">
        <v>3347.65</v>
      </c>
      <c r="K78" s="45">
        <v>3366.2</v>
      </c>
      <c r="L78" s="45">
        <v>2853.9199999999996</v>
      </c>
      <c r="M78" s="45">
        <v>2160.0700000000002</v>
      </c>
      <c r="N78" s="47"/>
      <c r="O78" s="45">
        <f>SUM(B78:M78)</f>
        <v>36234.83</v>
      </c>
      <c r="P78" s="45">
        <f>O78+115919</f>
        <v>152153.83000000002</v>
      </c>
    </row>
    <row r="79" spans="1:16" ht="15.75" customHeight="1" x14ac:dyDescent="0.25">
      <c r="A79" s="69" t="s">
        <v>124</v>
      </c>
      <c r="B79" s="45"/>
      <c r="C79" s="45"/>
      <c r="D79" s="45"/>
      <c r="E79" s="45"/>
      <c r="F79" s="45"/>
      <c r="G79" s="41">
        <v>2</v>
      </c>
      <c r="H79" s="41">
        <v>2</v>
      </c>
      <c r="I79" s="41">
        <v>2</v>
      </c>
      <c r="J79" s="41">
        <v>2</v>
      </c>
      <c r="K79" s="41">
        <v>2</v>
      </c>
      <c r="L79" s="41">
        <v>2</v>
      </c>
      <c r="M79" s="41">
        <v>2</v>
      </c>
      <c r="N79" s="47"/>
      <c r="O79" s="45"/>
      <c r="P79" s="45"/>
    </row>
    <row r="80" spans="1:16" ht="15.75" customHeight="1" x14ac:dyDescent="0.25">
      <c r="A80" s="70" t="s">
        <v>97</v>
      </c>
      <c r="B80" s="45"/>
      <c r="C80" s="45"/>
      <c r="D80" s="45"/>
      <c r="E80" s="45"/>
      <c r="F80" s="45"/>
      <c r="G80" s="45">
        <v>22833.659999999996</v>
      </c>
      <c r="H80" s="45">
        <v>18177.14</v>
      </c>
      <c r="I80" s="45">
        <v>58766.37</v>
      </c>
      <c r="J80" s="45">
        <v>107256.15000000001</v>
      </c>
      <c r="K80" s="45">
        <v>90408.12</v>
      </c>
      <c r="L80" s="45">
        <v>102840.67</v>
      </c>
      <c r="M80" s="45">
        <v>118178.79999999999</v>
      </c>
      <c r="N80" s="47"/>
      <c r="O80" s="45">
        <f>SUM(B80:M80)</f>
        <v>518460.91</v>
      </c>
      <c r="P80" s="45">
        <f>O80</f>
        <v>518460.91</v>
      </c>
    </row>
    <row r="81" spans="1:19" ht="15.75" customHeight="1" x14ac:dyDescent="0.25">
      <c r="A81" s="70" t="s">
        <v>125</v>
      </c>
      <c r="B81" s="45"/>
      <c r="C81" s="45"/>
      <c r="D81" s="45"/>
      <c r="E81" s="45"/>
      <c r="F81" s="45"/>
      <c r="G81" s="45">
        <v>2740.04</v>
      </c>
      <c r="H81" s="45">
        <v>2181.25</v>
      </c>
      <c r="I81" s="45">
        <v>7051.9600000000009</v>
      </c>
      <c r="J81" s="45">
        <v>12870.74</v>
      </c>
      <c r="K81" s="45">
        <v>10848.98</v>
      </c>
      <c r="L81" s="45">
        <v>12340.880000000001</v>
      </c>
      <c r="M81" s="45">
        <v>14181.46</v>
      </c>
      <c r="N81" s="47"/>
      <c r="O81" s="45">
        <f>SUM(B81:M81)</f>
        <v>62215.310000000005</v>
      </c>
      <c r="P81" s="45">
        <f>O81</f>
        <v>62215.310000000005</v>
      </c>
    </row>
    <row r="82" spans="1:19" ht="15.75" customHeight="1" x14ac:dyDescent="0.25">
      <c r="A82" s="70" t="s">
        <v>88</v>
      </c>
      <c r="B82" s="45"/>
      <c r="C82" s="45"/>
      <c r="D82" s="45"/>
      <c r="E82" s="45"/>
      <c r="F82" s="45"/>
      <c r="G82" s="45">
        <v>456.68</v>
      </c>
      <c r="H82" s="45">
        <v>363.55</v>
      </c>
      <c r="I82" s="45">
        <v>1175.33</v>
      </c>
      <c r="J82" s="45">
        <v>2145.1200000000003</v>
      </c>
      <c r="K82" s="45">
        <v>1808.1599999999999</v>
      </c>
      <c r="L82" s="45">
        <v>2056.8200000000002</v>
      </c>
      <c r="M82" s="45">
        <v>2363.58</v>
      </c>
      <c r="N82" s="47"/>
      <c r="O82" s="45">
        <f>SUM(B82:M82)</f>
        <v>10369.24</v>
      </c>
      <c r="P82" s="45">
        <f>O82</f>
        <v>10369.24</v>
      </c>
    </row>
    <row r="83" spans="1:19" ht="15.75" customHeight="1" x14ac:dyDescent="0.25">
      <c r="B83" s="45"/>
      <c r="C83" s="45"/>
      <c r="D83" s="45"/>
      <c r="E83" s="45"/>
      <c r="F83" s="45"/>
      <c r="G83" s="45"/>
      <c r="I83" s="45"/>
      <c r="J83" s="45"/>
      <c r="K83" s="45"/>
      <c r="L83" s="45"/>
      <c r="M83" s="45"/>
      <c r="N83" s="47"/>
      <c r="O83" s="45"/>
      <c r="P83" s="45"/>
    </row>
    <row r="84" spans="1:19" ht="15.75" customHeight="1" x14ac:dyDescent="0.25">
      <c r="A84" s="53" t="s">
        <v>91</v>
      </c>
      <c r="B84" s="45"/>
      <c r="C84" s="45"/>
      <c r="D84" s="45"/>
      <c r="E84" s="45"/>
      <c r="F84" s="45"/>
      <c r="G84" s="45"/>
      <c r="I84" s="45"/>
      <c r="J84" s="45"/>
      <c r="K84" s="45"/>
      <c r="L84" s="45"/>
      <c r="M84" s="45"/>
      <c r="N84" s="47"/>
      <c r="O84" s="45"/>
      <c r="P84" s="45"/>
    </row>
    <row r="85" spans="1:19" ht="15.75" customHeight="1" x14ac:dyDescent="0.25">
      <c r="A85" s="40" t="s">
        <v>87</v>
      </c>
      <c r="B85" s="41">
        <v>42</v>
      </c>
      <c r="C85" s="41">
        <v>42</v>
      </c>
      <c r="D85" s="41">
        <v>42</v>
      </c>
      <c r="E85" s="41">
        <v>43</v>
      </c>
      <c r="F85" s="41">
        <v>42</v>
      </c>
      <c r="G85" s="41">
        <v>42</v>
      </c>
      <c r="H85" s="41">
        <v>42</v>
      </c>
      <c r="I85" s="41">
        <v>40.799999999999997</v>
      </c>
      <c r="J85" s="41">
        <v>40</v>
      </c>
      <c r="K85" s="41">
        <v>40</v>
      </c>
      <c r="L85" s="41">
        <v>40</v>
      </c>
      <c r="M85" s="41">
        <v>40</v>
      </c>
      <c r="N85" s="39"/>
      <c r="O85" s="75"/>
      <c r="P85" s="75"/>
    </row>
    <row r="86" spans="1:19" ht="15.75" customHeight="1" x14ac:dyDescent="0.25">
      <c r="A86" s="44" t="s">
        <v>97</v>
      </c>
      <c r="B86" s="45">
        <v>1000284.68</v>
      </c>
      <c r="C86" s="45">
        <v>1046606.4</v>
      </c>
      <c r="D86" s="45">
        <v>1072460.68</v>
      </c>
      <c r="E86" s="45">
        <v>989434.98</v>
      </c>
      <c r="F86" s="45">
        <v>1220438.81</v>
      </c>
      <c r="G86" s="45">
        <v>1132405.8</v>
      </c>
      <c r="H86" s="45">
        <v>1171462.2</v>
      </c>
      <c r="I86" s="45">
        <v>1195639.22</v>
      </c>
      <c r="J86" s="45">
        <v>1313775.6000000001</v>
      </c>
      <c r="K86" s="45">
        <v>1302003.4100000001</v>
      </c>
      <c r="L86" s="45">
        <v>1275056.52</v>
      </c>
      <c r="M86" s="45">
        <v>1374559.91</v>
      </c>
      <c r="N86" s="48"/>
      <c r="O86" s="45">
        <f>SUM(B86:M86)</f>
        <v>14094128.209999999</v>
      </c>
      <c r="P86" s="45">
        <f>O86+82698804</f>
        <v>96792932.209999993</v>
      </c>
      <c r="R86" s="66"/>
      <c r="S86" s="66"/>
    </row>
    <row r="87" spans="1:19" ht="15.75" customHeight="1" x14ac:dyDescent="0.25">
      <c r="A87" s="44" t="s">
        <v>102</v>
      </c>
      <c r="B87" s="45">
        <v>144992.53999999998</v>
      </c>
      <c r="C87" s="45">
        <v>149109.38</v>
      </c>
      <c r="D87" s="45">
        <v>148101.28999999998</v>
      </c>
      <c r="E87" s="45">
        <v>137769.48000000001</v>
      </c>
      <c r="F87" s="45">
        <v>165652.12</v>
      </c>
      <c r="G87" s="45">
        <v>157777.04</v>
      </c>
      <c r="H87" s="45">
        <v>162671.89000000001</v>
      </c>
      <c r="I87" s="45">
        <v>163700.59</v>
      </c>
      <c r="J87" s="45">
        <v>171752.69999999998</v>
      </c>
      <c r="K87" s="45">
        <v>168552.49</v>
      </c>
      <c r="L87" s="45">
        <v>169586.37</v>
      </c>
      <c r="M87" s="45">
        <v>181954.16</v>
      </c>
      <c r="N87" s="39"/>
      <c r="O87" s="45">
        <f>SUM(B87:M87)</f>
        <v>1921620.05</v>
      </c>
      <c r="P87" s="45">
        <f>O87+10851403</f>
        <v>12773023.050000001</v>
      </c>
      <c r="R87" s="66"/>
      <c r="S87" s="66"/>
    </row>
    <row r="88" spans="1:19" ht="15.75" customHeight="1" x14ac:dyDescent="0.25">
      <c r="A88" s="44" t="s">
        <v>88</v>
      </c>
      <c r="B88" s="45">
        <v>20005.699999999997</v>
      </c>
      <c r="C88" s="45">
        <v>20932.150000000001</v>
      </c>
      <c r="D88" s="45">
        <v>21449.21</v>
      </c>
      <c r="E88" s="45">
        <v>19788.71</v>
      </c>
      <c r="F88" s="45">
        <v>24408.799999999996</v>
      </c>
      <c r="G88" s="45">
        <v>22648.120000000003</v>
      </c>
      <c r="H88" s="45">
        <v>23429.25</v>
      </c>
      <c r="I88" s="45">
        <v>23912.780000000002</v>
      </c>
      <c r="J88" s="45">
        <v>26275.520000000004</v>
      </c>
      <c r="K88" s="45">
        <v>26040.07</v>
      </c>
      <c r="L88" s="45">
        <v>25501.13</v>
      </c>
      <c r="M88" s="45">
        <v>27491.199999999997</v>
      </c>
      <c r="N88" s="48"/>
      <c r="O88" s="45">
        <f>SUM(B88:M88)</f>
        <v>281882.64</v>
      </c>
      <c r="P88" s="45">
        <f>O88+1653976</f>
        <v>1935858.6400000001</v>
      </c>
      <c r="R88" s="66"/>
      <c r="S88" s="66"/>
    </row>
    <row r="89" spans="1:19" ht="15.75" customHeight="1" x14ac:dyDescent="0.25">
      <c r="A89" s="40" t="s">
        <v>103</v>
      </c>
      <c r="B89" s="41">
        <v>9</v>
      </c>
      <c r="C89" s="41">
        <v>9</v>
      </c>
      <c r="D89" s="41">
        <v>9</v>
      </c>
      <c r="E89" s="41">
        <v>9</v>
      </c>
      <c r="F89" s="41">
        <v>9</v>
      </c>
      <c r="G89" s="41">
        <v>9</v>
      </c>
      <c r="H89" s="41">
        <v>9</v>
      </c>
      <c r="I89" s="41">
        <v>7.8</v>
      </c>
      <c r="J89" s="41">
        <v>7</v>
      </c>
      <c r="K89" s="41">
        <v>7</v>
      </c>
      <c r="L89" s="41">
        <v>7</v>
      </c>
      <c r="M89" s="41">
        <v>7</v>
      </c>
      <c r="N89" s="39"/>
      <c r="O89" s="75"/>
      <c r="P89" s="75"/>
      <c r="R89" s="66"/>
      <c r="S89" s="66"/>
    </row>
    <row r="90" spans="1:19" ht="15.75" customHeight="1" x14ac:dyDescent="0.35">
      <c r="A90" s="44" t="s">
        <v>97</v>
      </c>
      <c r="B90" s="45">
        <v>75766</v>
      </c>
      <c r="C90" s="45">
        <v>82174</v>
      </c>
      <c r="D90" s="45">
        <v>84901</v>
      </c>
      <c r="E90" s="45">
        <v>88825</v>
      </c>
      <c r="F90" s="45">
        <v>76225</v>
      </c>
      <c r="G90" s="45">
        <v>82585</v>
      </c>
      <c r="H90" s="45">
        <v>83232</v>
      </c>
      <c r="I90" s="45">
        <v>94189</v>
      </c>
      <c r="J90" s="45">
        <v>110509</v>
      </c>
      <c r="K90" s="45">
        <v>102918</v>
      </c>
      <c r="L90" s="45">
        <v>104689</v>
      </c>
      <c r="M90" s="45">
        <v>79511</v>
      </c>
      <c r="N90" s="49"/>
      <c r="O90" s="45">
        <f>SUM(B90:M90)</f>
        <v>1065524</v>
      </c>
      <c r="P90" s="45">
        <f>O90+4745534</f>
        <v>5811058</v>
      </c>
      <c r="Q90" s="67"/>
      <c r="R90" s="66"/>
      <c r="S90" s="66"/>
    </row>
    <row r="91" spans="1:19" ht="15.75" customHeight="1" x14ac:dyDescent="0.35">
      <c r="A91" s="44" t="s">
        <v>102</v>
      </c>
      <c r="B91" s="45">
        <v>9091.9200000000019</v>
      </c>
      <c r="C91" s="45">
        <v>9860.8799999999992</v>
      </c>
      <c r="D91" s="45">
        <v>10188.119999999999</v>
      </c>
      <c r="E91" s="45">
        <v>10659</v>
      </c>
      <c r="F91" s="45">
        <v>9147</v>
      </c>
      <c r="G91" s="45">
        <v>9910.2000000000007</v>
      </c>
      <c r="H91" s="45">
        <v>9987.84</v>
      </c>
      <c r="I91" s="45">
        <v>11302.68</v>
      </c>
      <c r="J91" s="45">
        <v>13261.08</v>
      </c>
      <c r="K91" s="45">
        <v>12350.159999999998</v>
      </c>
      <c r="L91" s="45">
        <v>12562.68</v>
      </c>
      <c r="M91" s="45">
        <v>9541.3200000000015</v>
      </c>
      <c r="N91" s="39"/>
      <c r="O91" s="45">
        <f>SUM(B91:M91)</f>
        <v>127862.88</v>
      </c>
      <c r="P91" s="45">
        <f>O91+599610</f>
        <v>727472.88</v>
      </c>
      <c r="Q91" s="67"/>
      <c r="R91" s="66"/>
      <c r="S91" s="66"/>
    </row>
    <row r="92" spans="1:19" ht="15.75" customHeight="1" x14ac:dyDescent="0.35">
      <c r="A92" s="44" t="s">
        <v>88</v>
      </c>
      <c r="B92" s="45">
        <v>1515.3200000000002</v>
      </c>
      <c r="C92" s="45">
        <v>1643.48</v>
      </c>
      <c r="D92" s="45">
        <v>1698.0199999999998</v>
      </c>
      <c r="E92" s="45">
        <v>1776.5</v>
      </c>
      <c r="F92" s="45">
        <v>1524.4999999999998</v>
      </c>
      <c r="G92" s="45">
        <v>1651.7</v>
      </c>
      <c r="H92" s="45">
        <v>1664.6399999999999</v>
      </c>
      <c r="I92" s="45">
        <v>1883.7799999999997</v>
      </c>
      <c r="J92" s="45">
        <v>2210.1800000000003</v>
      </c>
      <c r="K92" s="45">
        <v>2058.36</v>
      </c>
      <c r="L92" s="45">
        <v>2093.7799999999997</v>
      </c>
      <c r="M92" s="45">
        <v>1590.22</v>
      </c>
      <c r="N92" s="47"/>
      <c r="O92" s="45">
        <f>SUM(B92:M92)</f>
        <v>21310.48</v>
      </c>
      <c r="P92" s="45">
        <f>O92+94911</f>
        <v>116221.48</v>
      </c>
      <c r="Q92" s="67"/>
      <c r="R92" s="66"/>
      <c r="S92" s="66"/>
    </row>
    <row r="93" spans="1:19" ht="15.75" customHeight="1" x14ac:dyDescent="0.35">
      <c r="A93" s="40" t="s">
        <v>104</v>
      </c>
      <c r="B93" s="41">
        <v>32</v>
      </c>
      <c r="C93" s="41">
        <v>32</v>
      </c>
      <c r="D93" s="41">
        <v>32</v>
      </c>
      <c r="E93" s="41">
        <v>32</v>
      </c>
      <c r="F93" s="41">
        <v>32</v>
      </c>
      <c r="G93" s="41">
        <v>32</v>
      </c>
      <c r="H93" s="41">
        <v>32</v>
      </c>
      <c r="I93" s="41">
        <v>32</v>
      </c>
      <c r="J93" s="41">
        <v>32</v>
      </c>
      <c r="K93" s="41">
        <v>32</v>
      </c>
      <c r="L93" s="41">
        <v>32</v>
      </c>
      <c r="M93" s="41">
        <v>32</v>
      </c>
      <c r="N93" s="49"/>
      <c r="O93" s="75"/>
      <c r="P93" s="75"/>
      <c r="Q93" s="67"/>
      <c r="R93" s="66"/>
      <c r="S93" s="66"/>
    </row>
    <row r="94" spans="1:19" ht="15.75" customHeight="1" x14ac:dyDescent="0.35">
      <c r="A94" s="44" t="s">
        <v>97</v>
      </c>
      <c r="B94" s="45">
        <v>851111.68</v>
      </c>
      <c r="C94" s="45">
        <v>895265.9</v>
      </c>
      <c r="D94" s="45">
        <v>930483.17999999993</v>
      </c>
      <c r="E94" s="45">
        <v>844617.98</v>
      </c>
      <c r="F94" s="45">
        <v>1087744.81</v>
      </c>
      <c r="G94" s="45">
        <v>985443.3</v>
      </c>
      <c r="H94" s="45">
        <v>1023240.7</v>
      </c>
      <c r="I94" s="45">
        <v>1041968.22</v>
      </c>
      <c r="J94" s="45">
        <v>1161797.1000000001</v>
      </c>
      <c r="K94" s="45">
        <v>1162873.4100000001</v>
      </c>
      <c r="L94" s="45">
        <v>1121604.02</v>
      </c>
      <c r="M94" s="45">
        <v>1245028.4099999999</v>
      </c>
      <c r="N94" s="55"/>
      <c r="O94" s="45">
        <f t="shared" ref="O94:O100" si="0">SUM(B94:M94)</f>
        <v>12351178.709999999</v>
      </c>
      <c r="P94" s="45">
        <f>O94+77691517</f>
        <v>90042695.709999993</v>
      </c>
      <c r="Q94" s="67"/>
      <c r="R94" s="66"/>
      <c r="S94" s="66"/>
    </row>
    <row r="95" spans="1:19" ht="15.75" customHeight="1" x14ac:dyDescent="0.35">
      <c r="A95" s="44" t="s">
        <v>102</v>
      </c>
      <c r="B95" s="45">
        <v>102133.4</v>
      </c>
      <c r="C95" s="45">
        <v>107431.90999999999</v>
      </c>
      <c r="D95" s="45">
        <v>111657.98</v>
      </c>
      <c r="E95" s="45">
        <v>101354.16</v>
      </c>
      <c r="F95" s="45">
        <v>130529.38</v>
      </c>
      <c r="G95" s="45">
        <v>118253.19</v>
      </c>
      <c r="H95" s="45">
        <v>122788.88</v>
      </c>
      <c r="I95" s="45">
        <v>125036.19</v>
      </c>
      <c r="J95" s="45">
        <v>139415.65000000002</v>
      </c>
      <c r="K95" s="45">
        <v>139544.81</v>
      </c>
      <c r="L95" s="45">
        <v>134592.48000000001</v>
      </c>
      <c r="M95" s="45">
        <v>149403.41</v>
      </c>
      <c r="N95" s="52"/>
      <c r="O95" s="45">
        <f t="shared" si="0"/>
        <v>1482141.4400000002</v>
      </c>
      <c r="P95" s="45">
        <f>O95+10131386</f>
        <v>11613527.439999999</v>
      </c>
      <c r="Q95" s="67"/>
      <c r="R95" s="66"/>
      <c r="S95" s="66"/>
    </row>
    <row r="96" spans="1:19" ht="15.75" customHeight="1" x14ac:dyDescent="0.35">
      <c r="A96" s="44" t="s">
        <v>88</v>
      </c>
      <c r="B96" s="45">
        <v>17022.240000000002</v>
      </c>
      <c r="C96" s="45">
        <v>17905.34</v>
      </c>
      <c r="D96" s="45">
        <v>18609.66</v>
      </c>
      <c r="E96" s="45">
        <v>16892.37</v>
      </c>
      <c r="F96" s="45">
        <v>21754.92</v>
      </c>
      <c r="G96" s="45">
        <v>19708.87</v>
      </c>
      <c r="H96" s="45">
        <v>20464.82</v>
      </c>
      <c r="I96" s="45">
        <v>20839.36</v>
      </c>
      <c r="J96" s="45">
        <v>23235.949999999997</v>
      </c>
      <c r="K96" s="45">
        <v>23257.469999999998</v>
      </c>
      <c r="L96" s="45">
        <v>22432.079999999998</v>
      </c>
      <c r="M96" s="45">
        <v>24900.57</v>
      </c>
      <c r="N96" s="46"/>
      <c r="O96" s="45">
        <f t="shared" si="0"/>
        <v>247023.65000000002</v>
      </c>
      <c r="P96" s="45">
        <f>O96+1553831</f>
        <v>1800854.65</v>
      </c>
      <c r="Q96" s="67"/>
      <c r="R96" s="66"/>
      <c r="S96" s="66"/>
    </row>
    <row r="97" spans="1:17" ht="15.75" customHeight="1" x14ac:dyDescent="0.35">
      <c r="A97" s="40" t="s">
        <v>105</v>
      </c>
      <c r="B97" s="41">
        <v>0</v>
      </c>
      <c r="C97" s="41">
        <v>0</v>
      </c>
      <c r="D97" s="41">
        <v>0</v>
      </c>
      <c r="E97" s="41">
        <v>0</v>
      </c>
      <c r="F97" s="41">
        <v>0</v>
      </c>
      <c r="G97" s="41">
        <v>0</v>
      </c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41">
        <v>0</v>
      </c>
      <c r="N97" s="47"/>
      <c r="O97" s="75"/>
      <c r="P97" s="75"/>
      <c r="Q97" s="67"/>
    </row>
    <row r="98" spans="1:17" ht="15.75" customHeight="1" x14ac:dyDescent="0.35">
      <c r="A98" s="44" t="s">
        <v>97</v>
      </c>
      <c r="B98" s="45">
        <v>0</v>
      </c>
      <c r="C98" s="45">
        <v>0</v>
      </c>
      <c r="D98" s="45">
        <v>0</v>
      </c>
      <c r="E98" s="45">
        <v>0</v>
      </c>
      <c r="F98" s="45">
        <v>0</v>
      </c>
      <c r="G98" s="45">
        <v>0</v>
      </c>
      <c r="H98" s="45">
        <v>0</v>
      </c>
      <c r="I98" s="45">
        <v>0</v>
      </c>
      <c r="J98" s="45">
        <v>0</v>
      </c>
      <c r="K98" s="45">
        <v>0</v>
      </c>
      <c r="L98" s="45">
        <v>0</v>
      </c>
      <c r="M98" s="45">
        <v>0</v>
      </c>
      <c r="N98" s="47"/>
      <c r="O98" s="45">
        <f t="shared" si="0"/>
        <v>0</v>
      </c>
      <c r="P98" s="45">
        <f>O98</f>
        <v>0</v>
      </c>
      <c r="Q98" s="67"/>
    </row>
    <row r="99" spans="1:17" ht="15.75" customHeight="1" x14ac:dyDescent="0.35">
      <c r="A99" s="44" t="s">
        <v>102</v>
      </c>
      <c r="B99" s="45">
        <v>0</v>
      </c>
      <c r="C99" s="45">
        <v>0</v>
      </c>
      <c r="D99" s="45">
        <v>0</v>
      </c>
      <c r="E99" s="45">
        <v>0</v>
      </c>
      <c r="F99" s="45">
        <v>0</v>
      </c>
      <c r="G99" s="45">
        <v>0</v>
      </c>
      <c r="H99" s="45">
        <v>0</v>
      </c>
      <c r="I99" s="45">
        <v>0</v>
      </c>
      <c r="J99" s="45">
        <v>0</v>
      </c>
      <c r="K99" s="45">
        <v>0</v>
      </c>
      <c r="L99" s="45">
        <v>0</v>
      </c>
      <c r="M99" s="45">
        <v>0</v>
      </c>
      <c r="N99" s="39"/>
      <c r="O99" s="45">
        <f t="shared" si="0"/>
        <v>0</v>
      </c>
      <c r="P99" s="45">
        <f>O99</f>
        <v>0</v>
      </c>
      <c r="Q99" s="67"/>
    </row>
    <row r="100" spans="1:17" ht="15.75" customHeight="1" x14ac:dyDescent="0.35">
      <c r="A100" s="44" t="s">
        <v>88</v>
      </c>
      <c r="B100" s="45">
        <v>0</v>
      </c>
      <c r="C100" s="45">
        <v>0</v>
      </c>
      <c r="D100" s="45">
        <v>0</v>
      </c>
      <c r="E100" s="45">
        <v>0</v>
      </c>
      <c r="F100" s="45">
        <v>0</v>
      </c>
      <c r="G100" s="45">
        <v>0</v>
      </c>
      <c r="H100" s="45">
        <v>0</v>
      </c>
      <c r="I100" s="45">
        <v>0</v>
      </c>
      <c r="J100" s="45">
        <v>0</v>
      </c>
      <c r="K100" s="45">
        <v>0</v>
      </c>
      <c r="L100" s="45">
        <v>0</v>
      </c>
      <c r="M100" s="45">
        <v>0</v>
      </c>
      <c r="N100" s="48"/>
      <c r="O100" s="45">
        <f t="shared" si="0"/>
        <v>0</v>
      </c>
      <c r="P100" s="45">
        <f>O100</f>
        <v>0</v>
      </c>
      <c r="Q100" s="67"/>
    </row>
    <row r="101" spans="1:17" ht="15.75" customHeight="1" x14ac:dyDescent="0.35">
      <c r="A101" s="40" t="s">
        <v>106</v>
      </c>
      <c r="B101" s="41">
        <v>1</v>
      </c>
      <c r="C101" s="41">
        <v>1</v>
      </c>
      <c r="D101" s="41">
        <v>1</v>
      </c>
      <c r="E101" s="41">
        <v>2</v>
      </c>
      <c r="F101" s="41">
        <v>1</v>
      </c>
      <c r="G101" s="41">
        <v>1</v>
      </c>
      <c r="H101" s="41">
        <v>1</v>
      </c>
      <c r="I101" s="41">
        <v>1</v>
      </c>
      <c r="J101" s="41">
        <v>1</v>
      </c>
      <c r="K101" s="41">
        <v>1</v>
      </c>
      <c r="L101" s="41">
        <v>1</v>
      </c>
      <c r="M101" s="41">
        <v>1</v>
      </c>
      <c r="N101" s="39"/>
      <c r="O101" s="75"/>
      <c r="P101" s="75"/>
      <c r="Q101" s="67"/>
    </row>
    <row r="102" spans="1:17" ht="15.75" customHeight="1" x14ac:dyDescent="0.35">
      <c r="A102" s="44" t="s">
        <v>97</v>
      </c>
      <c r="B102" s="45">
        <v>73407</v>
      </c>
      <c r="C102" s="45">
        <v>69166.5</v>
      </c>
      <c r="D102" s="45">
        <v>57076.5</v>
      </c>
      <c r="E102" s="45">
        <v>55992</v>
      </c>
      <c r="F102" s="45">
        <v>56469</v>
      </c>
      <c r="G102" s="45">
        <v>64377.5</v>
      </c>
      <c r="H102" s="45">
        <v>64989.5</v>
      </c>
      <c r="I102" s="45">
        <v>59482</v>
      </c>
      <c r="J102" s="45">
        <v>41469.5</v>
      </c>
      <c r="K102" s="45">
        <v>36212</v>
      </c>
      <c r="L102" s="45">
        <v>48763.5</v>
      </c>
      <c r="M102" s="45">
        <v>50020.5</v>
      </c>
      <c r="N102" s="48"/>
      <c r="O102" s="45">
        <f>SUM(B102:M102)</f>
        <v>677425.5</v>
      </c>
      <c r="P102" s="45">
        <f>O102+261753</f>
        <v>939178.5</v>
      </c>
      <c r="Q102" s="67"/>
    </row>
    <row r="103" spans="1:17" ht="15.75" customHeight="1" x14ac:dyDescent="0.35">
      <c r="A103" s="44" t="s">
        <v>102</v>
      </c>
      <c r="B103" s="45">
        <v>33767.22</v>
      </c>
      <c r="C103" s="45">
        <v>31816.589999999997</v>
      </c>
      <c r="D103" s="45">
        <v>26255.190000000002</v>
      </c>
      <c r="E103" s="45">
        <v>25756.32</v>
      </c>
      <c r="F103" s="45">
        <v>25975.739999999998</v>
      </c>
      <c r="G103" s="45">
        <v>29613.65</v>
      </c>
      <c r="H103" s="45">
        <v>29895.17</v>
      </c>
      <c r="I103" s="45">
        <v>27361.72</v>
      </c>
      <c r="J103" s="45">
        <v>19075.97</v>
      </c>
      <c r="K103" s="45">
        <v>16657.52</v>
      </c>
      <c r="L103" s="45">
        <v>22431.21</v>
      </c>
      <c r="M103" s="45">
        <v>23009.43</v>
      </c>
      <c r="N103" s="39"/>
      <c r="O103" s="45">
        <f>SUM(B103:M103)</f>
        <v>311615.73000000004</v>
      </c>
      <c r="P103" s="45">
        <f>O103+120406</f>
        <v>432021.73000000004</v>
      </c>
      <c r="Q103" s="67"/>
    </row>
    <row r="104" spans="1:17" ht="15.75" customHeight="1" x14ac:dyDescent="0.35">
      <c r="A104" s="44" t="s">
        <v>88</v>
      </c>
      <c r="B104" s="45">
        <v>1468.14</v>
      </c>
      <c r="C104" s="45">
        <v>1383.33</v>
      </c>
      <c r="D104" s="45">
        <v>1141.53</v>
      </c>
      <c r="E104" s="45">
        <v>1119.8399999999999</v>
      </c>
      <c r="F104" s="45">
        <v>1129.3800000000001</v>
      </c>
      <c r="G104" s="45">
        <v>1287.5500000000002</v>
      </c>
      <c r="H104" s="45">
        <v>1299.79</v>
      </c>
      <c r="I104" s="45">
        <v>1189.6399999999999</v>
      </c>
      <c r="J104" s="45">
        <v>829.38999999999987</v>
      </c>
      <c r="K104" s="45">
        <v>724.24</v>
      </c>
      <c r="L104" s="45">
        <v>975.27</v>
      </c>
      <c r="M104" s="45">
        <v>1000.4100000000001</v>
      </c>
      <c r="N104" s="49"/>
      <c r="O104" s="45">
        <f>SUM(B104:M104)</f>
        <v>13548.51</v>
      </c>
      <c r="P104" s="45">
        <f>O104+5235</f>
        <v>18783.510000000002</v>
      </c>
      <c r="Q104" s="67"/>
    </row>
    <row r="105" spans="1:17" ht="15.75" customHeight="1" x14ac:dyDescent="0.35">
      <c r="B105" s="41"/>
      <c r="C105" s="41"/>
      <c r="D105" s="41"/>
      <c r="E105" s="41"/>
      <c r="F105" s="41"/>
      <c r="G105" s="41"/>
      <c r="I105" s="41"/>
      <c r="J105" s="41"/>
      <c r="K105" s="41"/>
      <c r="L105" s="41"/>
      <c r="M105" s="41"/>
      <c r="N105" s="39"/>
      <c r="O105" s="75"/>
      <c r="P105" s="75"/>
      <c r="Q105" s="67"/>
    </row>
    <row r="106" spans="1:17" ht="15.75" customHeight="1" x14ac:dyDescent="0.35">
      <c r="A106" s="53" t="s">
        <v>92</v>
      </c>
      <c r="B106" s="45"/>
      <c r="C106" s="45"/>
      <c r="D106" s="45"/>
      <c r="E106" s="45"/>
      <c r="F106" s="45"/>
      <c r="G106" s="45"/>
      <c r="I106" s="45"/>
      <c r="J106" s="45"/>
      <c r="K106" s="45"/>
      <c r="L106" s="45"/>
      <c r="M106" s="45"/>
      <c r="N106" s="49"/>
      <c r="O106" s="45"/>
      <c r="P106" s="45"/>
      <c r="Q106" s="67"/>
    </row>
    <row r="107" spans="1:17" ht="15.75" customHeight="1" x14ac:dyDescent="0.35">
      <c r="A107" s="40" t="s">
        <v>87</v>
      </c>
      <c r="B107" s="41">
        <v>83</v>
      </c>
      <c r="C107" s="41">
        <v>83</v>
      </c>
      <c r="D107" s="41">
        <v>83</v>
      </c>
      <c r="E107" s="41">
        <v>82</v>
      </c>
      <c r="F107" s="41">
        <v>82</v>
      </c>
      <c r="G107" s="41">
        <v>82</v>
      </c>
      <c r="H107" s="41">
        <v>86.4</v>
      </c>
      <c r="I107" s="41">
        <v>80.8</v>
      </c>
      <c r="J107" s="41">
        <v>82</v>
      </c>
      <c r="K107" s="41">
        <v>82</v>
      </c>
      <c r="L107" s="41">
        <v>82</v>
      </c>
      <c r="M107" s="41">
        <v>82</v>
      </c>
      <c r="N107" s="39"/>
      <c r="O107" s="75"/>
      <c r="P107" s="75"/>
      <c r="Q107" s="67"/>
    </row>
    <row r="108" spans="1:17" ht="15.75" customHeight="1" x14ac:dyDescent="0.35">
      <c r="A108" s="44" t="s">
        <v>97</v>
      </c>
      <c r="B108" s="45">
        <v>3182733.5300000003</v>
      </c>
      <c r="C108" s="45">
        <v>3053182.34</v>
      </c>
      <c r="D108" s="45">
        <v>2431761.75</v>
      </c>
      <c r="E108" s="45">
        <v>2169688.35</v>
      </c>
      <c r="F108" s="45">
        <v>2306953.5699999998</v>
      </c>
      <c r="G108" s="45">
        <v>2590665.36</v>
      </c>
      <c r="H108" s="45">
        <v>2571358.38</v>
      </c>
      <c r="I108" s="45">
        <v>2627268.7000000002</v>
      </c>
      <c r="J108" s="45">
        <v>3131813.14</v>
      </c>
      <c r="K108" s="45">
        <v>2840160.5</v>
      </c>
      <c r="L108" s="45">
        <v>2933200.06</v>
      </c>
      <c r="M108" s="45">
        <v>2211262.54</v>
      </c>
      <c r="N108" s="47"/>
      <c r="O108" s="45">
        <f>SUM(B108:M108)</f>
        <v>32050048.219999999</v>
      </c>
      <c r="P108" s="45">
        <f>O108+163000130</f>
        <v>195050178.22</v>
      </c>
      <c r="Q108" s="67"/>
    </row>
    <row r="109" spans="1:17" ht="15.75" customHeight="1" x14ac:dyDescent="0.35">
      <c r="A109" s="44" t="s">
        <v>102</v>
      </c>
      <c r="B109" s="45">
        <v>388967.21</v>
      </c>
      <c r="C109" s="45">
        <v>389136.55</v>
      </c>
      <c r="D109" s="45">
        <v>314256.17</v>
      </c>
      <c r="E109" s="45">
        <v>289514.2</v>
      </c>
      <c r="F109" s="45">
        <v>300190.39</v>
      </c>
      <c r="G109" s="45">
        <v>330377.82</v>
      </c>
      <c r="H109" s="45">
        <v>339658.9</v>
      </c>
      <c r="I109" s="45">
        <v>342727.92</v>
      </c>
      <c r="J109" s="45">
        <v>401088.42000000004</v>
      </c>
      <c r="K109" s="45">
        <v>369498.6</v>
      </c>
      <c r="L109" s="45">
        <v>377698.37999999995</v>
      </c>
      <c r="M109" s="45">
        <v>293682.17</v>
      </c>
      <c r="O109" s="45">
        <f>SUM(B109:M109)</f>
        <v>4136796.73</v>
      </c>
      <c r="P109" s="45">
        <f>O109+20933138</f>
        <v>25069934.73</v>
      </c>
      <c r="Q109" s="67"/>
    </row>
    <row r="110" spans="1:17" ht="15.75" customHeight="1" x14ac:dyDescent="0.35">
      <c r="A110" s="44" t="s">
        <v>88</v>
      </c>
      <c r="B110" s="45">
        <v>63654.68</v>
      </c>
      <c r="C110" s="45">
        <v>61063.65</v>
      </c>
      <c r="D110" s="45">
        <v>48635.25</v>
      </c>
      <c r="E110" s="45">
        <v>43393.780000000006</v>
      </c>
      <c r="F110" s="45">
        <v>46139.100000000006</v>
      </c>
      <c r="G110" s="45">
        <v>51813.31</v>
      </c>
      <c r="H110" s="45">
        <v>51427.17</v>
      </c>
      <c r="I110" s="45">
        <v>52545.380000000005</v>
      </c>
      <c r="J110" s="45">
        <v>62636.270000000004</v>
      </c>
      <c r="K110" s="45">
        <v>56803.22</v>
      </c>
      <c r="L110" s="45">
        <v>58664.020000000004</v>
      </c>
      <c r="M110" s="45">
        <v>44225.26</v>
      </c>
      <c r="O110" s="45">
        <f>SUM(B110:M110)</f>
        <v>641001.09000000008</v>
      </c>
      <c r="P110" s="45">
        <f>O110+3260003</f>
        <v>3901004.09</v>
      </c>
      <c r="Q110" s="67"/>
    </row>
    <row r="111" spans="1:17" ht="15.75" customHeight="1" x14ac:dyDescent="0.35">
      <c r="A111" s="40" t="s">
        <v>103</v>
      </c>
      <c r="B111" s="41">
        <v>14</v>
      </c>
      <c r="C111" s="41">
        <v>14</v>
      </c>
      <c r="D111" s="41">
        <v>14</v>
      </c>
      <c r="E111" s="41">
        <v>14</v>
      </c>
      <c r="F111" s="41">
        <v>14</v>
      </c>
      <c r="G111" s="41">
        <v>14</v>
      </c>
      <c r="H111" s="41">
        <v>14</v>
      </c>
      <c r="I111" s="41">
        <v>14</v>
      </c>
      <c r="J111" s="41">
        <v>14</v>
      </c>
      <c r="K111" s="41">
        <v>14</v>
      </c>
      <c r="L111" s="41">
        <v>14</v>
      </c>
      <c r="M111" s="41">
        <v>14</v>
      </c>
      <c r="O111" s="75"/>
      <c r="P111" s="75"/>
      <c r="Q111" s="67"/>
    </row>
    <row r="112" spans="1:17" ht="15.75" customHeight="1" x14ac:dyDescent="0.35">
      <c r="A112" s="44" t="s">
        <v>97</v>
      </c>
      <c r="B112" s="45">
        <v>168670</v>
      </c>
      <c r="C112" s="45">
        <v>176220</v>
      </c>
      <c r="D112" s="45">
        <v>168522</v>
      </c>
      <c r="E112" s="45">
        <v>174571</v>
      </c>
      <c r="F112" s="45">
        <v>171701</v>
      </c>
      <c r="G112" s="45">
        <v>178229</v>
      </c>
      <c r="H112" s="45">
        <v>163027</v>
      </c>
      <c r="I112" s="45">
        <v>177787</v>
      </c>
      <c r="J112" s="45">
        <v>191250</v>
      </c>
      <c r="K112" s="45">
        <v>177359</v>
      </c>
      <c r="L112" s="45">
        <v>165983</v>
      </c>
      <c r="M112" s="45">
        <v>128578.01</v>
      </c>
      <c r="O112" s="45">
        <f>SUM(B112:M112)</f>
        <v>2041897.01</v>
      </c>
      <c r="P112" s="45">
        <f>O112+15237928</f>
        <v>17279825.010000002</v>
      </c>
      <c r="Q112" s="67"/>
    </row>
    <row r="113" spans="1:17" ht="15.75" customHeight="1" x14ac:dyDescent="0.35">
      <c r="A113" s="44" t="s">
        <v>102</v>
      </c>
      <c r="B113" s="45">
        <v>20240.400000000001</v>
      </c>
      <c r="C113" s="45">
        <v>21146.400000000001</v>
      </c>
      <c r="D113" s="45">
        <v>20222.64</v>
      </c>
      <c r="E113" s="45">
        <v>20948.519999999997</v>
      </c>
      <c r="F113" s="45">
        <v>20604.120000000003</v>
      </c>
      <c r="G113" s="45">
        <v>21387.480000000003</v>
      </c>
      <c r="H113" s="45">
        <v>19563.239999999998</v>
      </c>
      <c r="I113" s="45">
        <v>21334.44</v>
      </c>
      <c r="J113" s="45">
        <v>22949.999999999996</v>
      </c>
      <c r="K113" s="45">
        <v>21283.08</v>
      </c>
      <c r="L113" s="45">
        <v>19917.96</v>
      </c>
      <c r="M113" s="45">
        <v>15429.36</v>
      </c>
      <c r="O113" s="45">
        <f>SUM(B113:M113)</f>
        <v>245027.64</v>
      </c>
      <c r="P113" s="45">
        <f>O113+1979774</f>
        <v>2224801.64</v>
      </c>
      <c r="Q113" s="67"/>
    </row>
    <row r="114" spans="1:17" ht="15.75" customHeight="1" x14ac:dyDescent="0.35">
      <c r="A114" s="44" t="s">
        <v>88</v>
      </c>
      <c r="B114" s="45">
        <v>3373.4000000000005</v>
      </c>
      <c r="C114" s="45">
        <v>3524.4000000000005</v>
      </c>
      <c r="D114" s="45">
        <v>3370.44</v>
      </c>
      <c r="E114" s="45">
        <v>3491.42</v>
      </c>
      <c r="F114" s="45">
        <v>3434.02</v>
      </c>
      <c r="G114" s="45">
        <v>3564.5800000000004</v>
      </c>
      <c r="H114" s="45">
        <v>3260.54</v>
      </c>
      <c r="I114" s="45">
        <v>3555.74</v>
      </c>
      <c r="J114" s="45">
        <v>3825</v>
      </c>
      <c r="K114" s="45">
        <v>3547.1800000000003</v>
      </c>
      <c r="L114" s="45">
        <v>3319.6600000000003</v>
      </c>
      <c r="M114" s="45">
        <v>2571.56</v>
      </c>
      <c r="O114" s="45">
        <f>SUM(B114:M114)</f>
        <v>40837.94</v>
      </c>
      <c r="P114" s="45">
        <f>O114+304758</f>
        <v>345595.94</v>
      </c>
      <c r="Q114" s="67"/>
    </row>
    <row r="115" spans="1:17" ht="15.75" customHeight="1" x14ac:dyDescent="0.35">
      <c r="A115" s="40" t="s">
        <v>104</v>
      </c>
      <c r="B115" s="41">
        <v>67.599999999999994</v>
      </c>
      <c r="C115" s="41">
        <v>68</v>
      </c>
      <c r="D115" s="41">
        <v>67.8</v>
      </c>
      <c r="E115" s="41">
        <v>67</v>
      </c>
      <c r="F115" s="41">
        <v>67</v>
      </c>
      <c r="G115" s="41">
        <v>67</v>
      </c>
      <c r="H115" s="41">
        <v>71.400000000000006</v>
      </c>
      <c r="I115" s="41">
        <v>65.8</v>
      </c>
      <c r="J115" s="41">
        <v>67</v>
      </c>
      <c r="K115" s="41">
        <v>67</v>
      </c>
      <c r="L115" s="41">
        <v>67</v>
      </c>
      <c r="M115" s="41">
        <v>67</v>
      </c>
      <c r="O115" s="75"/>
      <c r="P115" s="75"/>
      <c r="Q115" s="67"/>
    </row>
    <row r="116" spans="1:17" ht="15.75" customHeight="1" x14ac:dyDescent="0.35">
      <c r="A116" s="44" t="s">
        <v>97</v>
      </c>
      <c r="B116" s="45">
        <v>2993360.0300000003</v>
      </c>
      <c r="C116" s="45">
        <v>2810036.84</v>
      </c>
      <c r="D116" s="45">
        <v>2197225.75</v>
      </c>
      <c r="E116" s="45">
        <v>1909377.35</v>
      </c>
      <c r="F116" s="45">
        <v>2066558.57</v>
      </c>
      <c r="G116" s="45">
        <v>2355089.36</v>
      </c>
      <c r="H116" s="45">
        <v>2316872.88</v>
      </c>
      <c r="I116" s="45">
        <v>2368729.7000000002</v>
      </c>
      <c r="J116" s="45">
        <v>2866237.14</v>
      </c>
      <c r="K116" s="45">
        <v>2578450.5</v>
      </c>
      <c r="L116" s="45">
        <v>2691586.56</v>
      </c>
      <c r="M116" s="45">
        <v>1999359.03</v>
      </c>
      <c r="O116" s="45">
        <f t="shared" ref="O116:O122" si="1">SUM(B116:M116)</f>
        <v>29152883.710000001</v>
      </c>
      <c r="P116" s="45">
        <f>O116+147762201</f>
        <v>176915084.71000001</v>
      </c>
      <c r="Q116" s="67"/>
    </row>
    <row r="117" spans="1:17" ht="15.75" customHeight="1" x14ac:dyDescent="0.35">
      <c r="A117" s="44" t="s">
        <v>102</v>
      </c>
      <c r="B117" s="45">
        <v>359203.2</v>
      </c>
      <c r="C117" s="45">
        <v>337204.4200000001</v>
      </c>
      <c r="D117" s="45">
        <v>263667.08999999997</v>
      </c>
      <c r="E117" s="45">
        <v>229125.28</v>
      </c>
      <c r="F117" s="45">
        <v>247987.03000000003</v>
      </c>
      <c r="G117" s="45">
        <v>282610.71999999997</v>
      </c>
      <c r="H117" s="45">
        <v>278024.75</v>
      </c>
      <c r="I117" s="45">
        <v>284247.56</v>
      </c>
      <c r="J117" s="45">
        <v>343948.45999999996</v>
      </c>
      <c r="K117" s="45">
        <v>309414.06</v>
      </c>
      <c r="L117" s="45">
        <v>322990.39</v>
      </c>
      <c r="M117" s="45">
        <v>239923.08</v>
      </c>
      <c r="O117" s="45">
        <f t="shared" si="1"/>
        <v>3498346.04</v>
      </c>
      <c r="P117" s="45">
        <f>O117+18953364</f>
        <v>22451710.039999999</v>
      </c>
      <c r="Q117" s="67"/>
    </row>
    <row r="118" spans="1:17" ht="15.75" customHeight="1" x14ac:dyDescent="0.35">
      <c r="A118" s="44" t="s">
        <v>88</v>
      </c>
      <c r="B118" s="45">
        <v>59867.21</v>
      </c>
      <c r="C118" s="45">
        <v>56200.740000000005</v>
      </c>
      <c r="D118" s="45">
        <v>43944.530000000006</v>
      </c>
      <c r="E118" s="45">
        <v>38187.560000000005</v>
      </c>
      <c r="F118" s="45">
        <v>41331.199999999997</v>
      </c>
      <c r="G118" s="45">
        <v>47101.79</v>
      </c>
      <c r="H118" s="45">
        <v>46337.46</v>
      </c>
      <c r="I118" s="45">
        <v>47374.600000000006</v>
      </c>
      <c r="J118" s="45">
        <v>57324.750000000007</v>
      </c>
      <c r="K118" s="45">
        <v>51569.020000000004</v>
      </c>
      <c r="L118" s="45">
        <v>53831.75</v>
      </c>
      <c r="M118" s="45">
        <v>39987.19</v>
      </c>
      <c r="O118" s="45">
        <f t="shared" si="1"/>
        <v>583057.80000000005</v>
      </c>
      <c r="P118" s="45">
        <f>O118+2955245</f>
        <v>3538302.8</v>
      </c>
      <c r="Q118" s="67"/>
    </row>
    <row r="119" spans="1:17" ht="15.75" customHeight="1" x14ac:dyDescent="0.35">
      <c r="A119" s="40" t="s">
        <v>105</v>
      </c>
      <c r="B119" s="41">
        <v>0</v>
      </c>
      <c r="C119" s="41">
        <v>0</v>
      </c>
      <c r="D119" s="41">
        <v>0</v>
      </c>
      <c r="E119" s="41">
        <v>0</v>
      </c>
      <c r="F119" s="41">
        <v>0</v>
      </c>
      <c r="G119" s="41">
        <v>0</v>
      </c>
      <c r="H119" s="41">
        <v>0</v>
      </c>
      <c r="I119" s="41">
        <v>0</v>
      </c>
      <c r="J119" s="41">
        <v>0</v>
      </c>
      <c r="K119" s="41">
        <v>0</v>
      </c>
      <c r="L119" s="41">
        <v>0</v>
      </c>
      <c r="M119" s="41">
        <v>0</v>
      </c>
      <c r="O119" s="75"/>
      <c r="P119" s="75"/>
      <c r="Q119" s="67"/>
    </row>
    <row r="120" spans="1:17" ht="15.75" customHeight="1" x14ac:dyDescent="0.35">
      <c r="A120" s="44" t="s">
        <v>97</v>
      </c>
      <c r="B120" s="45">
        <v>0</v>
      </c>
      <c r="C120" s="45">
        <v>0</v>
      </c>
      <c r="D120" s="45">
        <v>0</v>
      </c>
      <c r="E120" s="45">
        <v>0</v>
      </c>
      <c r="F120" s="45">
        <v>0</v>
      </c>
      <c r="G120" s="45">
        <v>0</v>
      </c>
      <c r="H120" s="45">
        <v>0</v>
      </c>
      <c r="I120" s="45">
        <v>0</v>
      </c>
      <c r="J120" s="45">
        <v>0</v>
      </c>
      <c r="K120" s="45">
        <v>0</v>
      </c>
      <c r="L120" s="45">
        <v>0</v>
      </c>
      <c r="M120" s="45">
        <v>0</v>
      </c>
      <c r="O120" s="45">
        <f t="shared" si="1"/>
        <v>0</v>
      </c>
      <c r="P120" s="45">
        <f>O120</f>
        <v>0</v>
      </c>
      <c r="Q120" s="67"/>
    </row>
    <row r="121" spans="1:17" ht="15.75" customHeight="1" x14ac:dyDescent="0.35">
      <c r="A121" s="44" t="s">
        <v>102</v>
      </c>
      <c r="B121" s="45">
        <v>0</v>
      </c>
      <c r="C121" s="45">
        <v>0</v>
      </c>
      <c r="D121" s="45">
        <v>0</v>
      </c>
      <c r="E121" s="45">
        <v>0</v>
      </c>
      <c r="F121" s="45">
        <v>0</v>
      </c>
      <c r="G121" s="45">
        <v>0</v>
      </c>
      <c r="H121" s="45">
        <v>0</v>
      </c>
      <c r="I121" s="45">
        <v>0</v>
      </c>
      <c r="J121" s="45">
        <v>0</v>
      </c>
      <c r="K121" s="45">
        <v>0</v>
      </c>
      <c r="L121" s="45">
        <v>0</v>
      </c>
      <c r="M121" s="45">
        <v>0</v>
      </c>
      <c r="O121" s="45">
        <f t="shared" si="1"/>
        <v>0</v>
      </c>
      <c r="P121" s="45">
        <f>O121</f>
        <v>0</v>
      </c>
      <c r="Q121" s="67"/>
    </row>
    <row r="122" spans="1:17" ht="15.75" customHeight="1" x14ac:dyDescent="0.35">
      <c r="A122" s="44" t="s">
        <v>88</v>
      </c>
      <c r="B122" s="45">
        <v>0</v>
      </c>
      <c r="C122" s="45">
        <v>0</v>
      </c>
      <c r="D122" s="45">
        <v>0</v>
      </c>
      <c r="E122" s="45">
        <v>0</v>
      </c>
      <c r="F122" s="45">
        <v>0</v>
      </c>
      <c r="G122" s="45">
        <v>0</v>
      </c>
      <c r="H122" s="45">
        <v>0</v>
      </c>
      <c r="I122" s="45">
        <v>0</v>
      </c>
      <c r="J122" s="45">
        <v>0</v>
      </c>
      <c r="K122" s="45">
        <v>0</v>
      </c>
      <c r="L122" s="45">
        <v>0</v>
      </c>
      <c r="M122" s="45">
        <v>0</v>
      </c>
      <c r="O122" s="45">
        <f t="shared" si="1"/>
        <v>0</v>
      </c>
      <c r="P122" s="45">
        <f>O122</f>
        <v>0</v>
      </c>
      <c r="Q122" s="67"/>
    </row>
    <row r="123" spans="1:17" ht="15.75" customHeight="1" x14ac:dyDescent="0.35">
      <c r="A123" s="40" t="s">
        <v>106</v>
      </c>
      <c r="B123" s="41">
        <v>1</v>
      </c>
      <c r="C123" s="41">
        <v>1</v>
      </c>
      <c r="D123" s="41">
        <v>1</v>
      </c>
      <c r="E123" s="41">
        <v>1</v>
      </c>
      <c r="F123" s="41">
        <v>1</v>
      </c>
      <c r="G123" s="41">
        <v>1</v>
      </c>
      <c r="H123" s="41">
        <v>1</v>
      </c>
      <c r="I123" s="41">
        <v>1</v>
      </c>
      <c r="J123" s="41">
        <v>1</v>
      </c>
      <c r="K123" s="41">
        <v>1</v>
      </c>
      <c r="L123" s="41">
        <v>1</v>
      </c>
      <c r="M123" s="41">
        <v>1</v>
      </c>
      <c r="O123" s="75"/>
      <c r="P123" s="75"/>
      <c r="Q123" s="67"/>
    </row>
    <row r="124" spans="1:17" ht="15.75" customHeight="1" x14ac:dyDescent="0.35">
      <c r="A124" s="44" t="s">
        <v>97</v>
      </c>
      <c r="B124" s="45">
        <v>20703.5</v>
      </c>
      <c r="C124" s="45">
        <v>66925.5</v>
      </c>
      <c r="D124" s="45">
        <v>66014</v>
      </c>
      <c r="E124" s="45">
        <v>85740</v>
      </c>
      <c r="F124" s="45">
        <v>68694</v>
      </c>
      <c r="G124" s="45">
        <v>57347</v>
      </c>
      <c r="H124" s="45">
        <v>91458.5</v>
      </c>
      <c r="I124" s="45">
        <v>80752</v>
      </c>
      <c r="J124" s="45">
        <v>74326</v>
      </c>
      <c r="K124" s="45">
        <v>84351</v>
      </c>
      <c r="L124" s="45">
        <v>75630.5</v>
      </c>
      <c r="M124" s="45">
        <v>83325.5</v>
      </c>
      <c r="O124" s="45">
        <f>SUM(B124:M124)</f>
        <v>855267.5</v>
      </c>
      <c r="P124" s="45">
        <f>O124</f>
        <v>855267.5</v>
      </c>
      <c r="Q124" s="67"/>
    </row>
    <row r="125" spans="1:17" ht="15.75" customHeight="1" x14ac:dyDescent="0.35">
      <c r="A125" s="44" t="s">
        <v>102</v>
      </c>
      <c r="B125" s="45">
        <v>9523.61</v>
      </c>
      <c r="C125" s="45">
        <v>30785.73</v>
      </c>
      <c r="D125" s="45">
        <v>30366.44</v>
      </c>
      <c r="E125" s="45">
        <v>39440.399999999994</v>
      </c>
      <c r="F125" s="45">
        <v>31599.24</v>
      </c>
      <c r="G125" s="45">
        <v>26379.62</v>
      </c>
      <c r="H125" s="45">
        <v>42070.91</v>
      </c>
      <c r="I125" s="45">
        <v>37145.919999999998</v>
      </c>
      <c r="J125" s="45">
        <v>34189.96</v>
      </c>
      <c r="K125" s="45">
        <v>38801.46</v>
      </c>
      <c r="L125" s="45">
        <v>34790.03</v>
      </c>
      <c r="M125" s="45">
        <v>38329.729999999996</v>
      </c>
      <c r="O125" s="45">
        <f>SUM(B125:M125)</f>
        <v>393423.05000000005</v>
      </c>
      <c r="P125" s="45">
        <f>O125</f>
        <v>393423.05000000005</v>
      </c>
      <c r="Q125" s="67"/>
    </row>
    <row r="126" spans="1:17" ht="15.75" customHeight="1" x14ac:dyDescent="0.35">
      <c r="A126" s="44" t="s">
        <v>88</v>
      </c>
      <c r="B126" s="45">
        <v>414.07</v>
      </c>
      <c r="C126" s="45">
        <v>1338.51</v>
      </c>
      <c r="D126" s="45">
        <v>1320.28</v>
      </c>
      <c r="E126" s="45">
        <v>1714.8000000000002</v>
      </c>
      <c r="F126" s="45">
        <v>1373.88</v>
      </c>
      <c r="G126" s="45">
        <v>1146.94</v>
      </c>
      <c r="H126" s="45">
        <v>1829.17</v>
      </c>
      <c r="I126" s="45">
        <v>1615.04</v>
      </c>
      <c r="J126" s="45">
        <v>1486.52</v>
      </c>
      <c r="K126" s="45">
        <v>1687.02</v>
      </c>
      <c r="L126" s="45">
        <v>1512.6100000000001</v>
      </c>
      <c r="M126" s="45">
        <v>1666.51</v>
      </c>
      <c r="O126" s="45">
        <f>SUM(B126:M126)</f>
        <v>17105.349999999999</v>
      </c>
      <c r="P126" s="45">
        <f>O126</f>
        <v>17105.349999999999</v>
      </c>
      <c r="Q126" s="67"/>
    </row>
    <row r="127" spans="1:17" ht="15.75" customHeight="1" x14ac:dyDescent="0.35">
      <c r="B127" s="45"/>
      <c r="C127" s="45"/>
      <c r="D127" s="45"/>
      <c r="E127" s="45"/>
      <c r="F127" s="45"/>
      <c r="G127" s="45"/>
      <c r="I127" s="45"/>
      <c r="J127" s="45"/>
      <c r="K127" s="45"/>
      <c r="L127" s="45"/>
      <c r="M127" s="45"/>
      <c r="O127" s="45"/>
      <c r="P127" s="45"/>
      <c r="Q127" s="67"/>
    </row>
    <row r="128" spans="1:17" ht="15.75" customHeight="1" x14ac:dyDescent="0.35">
      <c r="A128" s="53" t="s">
        <v>93</v>
      </c>
      <c r="B128" s="41"/>
      <c r="C128" s="41"/>
      <c r="D128" s="41"/>
      <c r="E128" s="41"/>
      <c r="F128" s="41"/>
      <c r="G128" s="41"/>
      <c r="I128" s="41"/>
      <c r="J128" s="41"/>
      <c r="K128" s="41"/>
      <c r="L128" s="41"/>
      <c r="M128" s="41"/>
      <c r="O128" s="75"/>
      <c r="P128" s="75"/>
      <c r="Q128" s="67"/>
    </row>
    <row r="129" spans="1:17" ht="15.75" customHeight="1" x14ac:dyDescent="0.35">
      <c r="A129" s="40" t="s">
        <v>87</v>
      </c>
      <c r="B129" s="41">
        <v>80</v>
      </c>
      <c r="C129" s="41">
        <v>80</v>
      </c>
      <c r="D129" s="41">
        <v>80.2</v>
      </c>
      <c r="E129" s="41">
        <v>81.400000000000006</v>
      </c>
      <c r="F129" s="41">
        <v>81</v>
      </c>
      <c r="G129" s="41">
        <v>81</v>
      </c>
      <c r="H129" s="41">
        <v>81</v>
      </c>
      <c r="I129" s="41">
        <v>81</v>
      </c>
      <c r="J129" s="41">
        <v>81</v>
      </c>
      <c r="K129" s="41">
        <v>81</v>
      </c>
      <c r="L129" s="41">
        <v>81</v>
      </c>
      <c r="M129" s="41">
        <v>81</v>
      </c>
      <c r="O129" s="75"/>
      <c r="P129" s="75"/>
      <c r="Q129" s="67"/>
    </row>
    <row r="130" spans="1:17" ht="15.75" customHeight="1" x14ac:dyDescent="0.35">
      <c r="A130" s="44" t="s">
        <v>97</v>
      </c>
      <c r="B130" s="45">
        <v>4241052.9000000004</v>
      </c>
      <c r="C130" s="45">
        <v>4640232.29</v>
      </c>
      <c r="D130" s="45">
        <v>3943580.76</v>
      </c>
      <c r="E130" s="45">
        <v>3842848.81</v>
      </c>
      <c r="F130" s="45">
        <v>3811005.5500000003</v>
      </c>
      <c r="G130" s="45">
        <v>3825139.0900000003</v>
      </c>
      <c r="H130" s="45">
        <v>3099871.36</v>
      </c>
      <c r="I130" s="45">
        <v>3491418.49</v>
      </c>
      <c r="J130" s="45">
        <v>4103749.29</v>
      </c>
      <c r="K130" s="45">
        <v>3481374.41</v>
      </c>
      <c r="L130" s="45">
        <v>3783145.84</v>
      </c>
      <c r="M130" s="45">
        <v>3074252.11</v>
      </c>
      <c r="O130" s="45">
        <f>SUM(B130:M130)</f>
        <v>45337670.900000006</v>
      </c>
      <c r="P130" s="45">
        <f>O130+204595876</f>
        <v>249933546.90000001</v>
      </c>
      <c r="Q130" s="67"/>
    </row>
    <row r="131" spans="1:17" ht="15.75" customHeight="1" x14ac:dyDescent="0.35">
      <c r="A131" s="44" t="s">
        <v>102</v>
      </c>
      <c r="B131" s="45">
        <v>547700.97</v>
      </c>
      <c r="C131" s="45">
        <v>588686.54999999993</v>
      </c>
      <c r="D131" s="45">
        <v>498750.76999999996</v>
      </c>
      <c r="E131" s="45">
        <v>484435.93</v>
      </c>
      <c r="F131" s="45">
        <v>486007.82</v>
      </c>
      <c r="G131" s="45">
        <v>491072.23000000004</v>
      </c>
      <c r="H131" s="45">
        <v>399824.77999999997</v>
      </c>
      <c r="I131" s="45">
        <v>452930.6</v>
      </c>
      <c r="J131" s="45">
        <v>513295.65</v>
      </c>
      <c r="K131" s="45">
        <v>444991.96</v>
      </c>
      <c r="L131" s="45">
        <v>477902.62000000005</v>
      </c>
      <c r="M131" s="45">
        <v>388830.86</v>
      </c>
      <c r="O131" s="45">
        <f>SUM(B131:M131)</f>
        <v>5774430.7400000002</v>
      </c>
      <c r="P131" s="45">
        <f>O131+26594428</f>
        <v>32368858.740000002</v>
      </c>
      <c r="Q131" s="67"/>
    </row>
    <row r="132" spans="1:17" ht="15.75" customHeight="1" x14ac:dyDescent="0.35">
      <c r="A132" s="44" t="s">
        <v>88</v>
      </c>
      <c r="B132" s="45">
        <v>84821.07</v>
      </c>
      <c r="C132" s="45">
        <v>92804.669999999984</v>
      </c>
      <c r="D132" s="45">
        <v>78871.62000000001</v>
      </c>
      <c r="E132" s="45">
        <v>76856.97</v>
      </c>
      <c r="F132" s="45">
        <v>76220.109999999986</v>
      </c>
      <c r="G132" s="45">
        <v>76502.790000000008</v>
      </c>
      <c r="H132" s="45">
        <v>61997.43</v>
      </c>
      <c r="I132" s="45">
        <v>69828.37</v>
      </c>
      <c r="J132" s="45">
        <v>82074.990000000005</v>
      </c>
      <c r="K132" s="45">
        <v>69627.5</v>
      </c>
      <c r="L132" s="45">
        <v>75662.929999999993</v>
      </c>
      <c r="M132" s="45">
        <v>61485.06</v>
      </c>
      <c r="O132" s="45">
        <f>SUM(B132:M132)</f>
        <v>906753.51</v>
      </c>
      <c r="P132" s="45">
        <f>O132+4091918</f>
        <v>4998671.51</v>
      </c>
      <c r="Q132" s="67"/>
    </row>
    <row r="133" spans="1:17" ht="15.75" customHeight="1" x14ac:dyDescent="0.35">
      <c r="A133" s="40" t="s">
        <v>103</v>
      </c>
      <c r="B133" s="41">
        <v>9</v>
      </c>
      <c r="C133" s="41">
        <v>9</v>
      </c>
      <c r="D133" s="41">
        <v>9</v>
      </c>
      <c r="E133" s="41">
        <v>9</v>
      </c>
      <c r="F133" s="41">
        <v>9</v>
      </c>
      <c r="G133" s="41">
        <v>9</v>
      </c>
      <c r="H133" s="41">
        <v>9</v>
      </c>
      <c r="I133" s="41">
        <v>9</v>
      </c>
      <c r="J133" s="41">
        <v>9</v>
      </c>
      <c r="K133" s="41">
        <v>9</v>
      </c>
      <c r="L133" s="41">
        <v>9</v>
      </c>
      <c r="M133" s="41">
        <v>9</v>
      </c>
      <c r="O133" s="75"/>
      <c r="P133" s="75"/>
      <c r="Q133" s="67"/>
    </row>
    <row r="134" spans="1:17" ht="15.75" customHeight="1" x14ac:dyDescent="0.35">
      <c r="A134" s="44" t="s">
        <v>97</v>
      </c>
      <c r="B134" s="45">
        <v>120386</v>
      </c>
      <c r="C134" s="45">
        <v>122242</v>
      </c>
      <c r="D134" s="45">
        <v>101389</v>
      </c>
      <c r="E134" s="45">
        <v>100592</v>
      </c>
      <c r="F134" s="45">
        <v>100883</v>
      </c>
      <c r="G134" s="45">
        <v>107466</v>
      </c>
      <c r="H134" s="45">
        <v>112597</v>
      </c>
      <c r="I134" s="45">
        <v>112581</v>
      </c>
      <c r="J134" s="45">
        <v>106702</v>
      </c>
      <c r="K134" s="45">
        <v>111829</v>
      </c>
      <c r="L134" s="45">
        <v>105861</v>
      </c>
      <c r="M134" s="45">
        <v>98168</v>
      </c>
      <c r="O134" s="45">
        <f>SUM(B134:M134)</f>
        <v>1300696</v>
      </c>
      <c r="P134" s="45">
        <f>O134+11386989</f>
        <v>12687685</v>
      </c>
      <c r="Q134" s="67"/>
    </row>
    <row r="135" spans="1:17" ht="15.75" customHeight="1" x14ac:dyDescent="0.35">
      <c r="A135" s="44" t="s">
        <v>102</v>
      </c>
      <c r="B135" s="45">
        <v>14446.32</v>
      </c>
      <c r="C135" s="45">
        <v>14669.04</v>
      </c>
      <c r="D135" s="45">
        <v>12166.68</v>
      </c>
      <c r="E135" s="45">
        <v>12071.04</v>
      </c>
      <c r="F135" s="45">
        <v>12105.960000000001</v>
      </c>
      <c r="G135" s="45">
        <v>12895.92</v>
      </c>
      <c r="H135" s="45">
        <v>13511.64</v>
      </c>
      <c r="I135" s="45">
        <v>13509.72</v>
      </c>
      <c r="J135" s="45">
        <v>12804.240000000002</v>
      </c>
      <c r="K135" s="45">
        <v>13419.48</v>
      </c>
      <c r="L135" s="45">
        <v>12703.32</v>
      </c>
      <c r="M135" s="45">
        <v>11780.16</v>
      </c>
      <c r="O135" s="45">
        <f>SUM(B135:M135)</f>
        <v>156083.52000000002</v>
      </c>
      <c r="P135" s="45">
        <f>O135+1492679</f>
        <v>1648762.52</v>
      </c>
      <c r="Q135" s="67"/>
    </row>
    <row r="136" spans="1:17" ht="15.75" customHeight="1" x14ac:dyDescent="0.35">
      <c r="A136" s="44" t="s">
        <v>88</v>
      </c>
      <c r="B136" s="45">
        <v>2407.7200000000003</v>
      </c>
      <c r="C136" s="45">
        <v>2444.8399999999997</v>
      </c>
      <c r="D136" s="45">
        <v>2027.7799999999997</v>
      </c>
      <c r="E136" s="45">
        <v>2011.8400000000001</v>
      </c>
      <c r="F136" s="45">
        <v>2017.6599999999999</v>
      </c>
      <c r="G136" s="45">
        <v>2149.3200000000002</v>
      </c>
      <c r="H136" s="45">
        <v>2251.9400000000005</v>
      </c>
      <c r="I136" s="45">
        <v>2251.62</v>
      </c>
      <c r="J136" s="45">
        <v>2134.04</v>
      </c>
      <c r="K136" s="45">
        <v>2236.58</v>
      </c>
      <c r="L136" s="45">
        <v>2117.2200000000003</v>
      </c>
      <c r="M136" s="45">
        <v>1963.3600000000001</v>
      </c>
      <c r="O136" s="45">
        <f>SUM(B136:M136)</f>
        <v>26013.920000000006</v>
      </c>
      <c r="P136" s="45">
        <f>O136+227740</f>
        <v>253753.92</v>
      </c>
      <c r="Q136" s="67"/>
    </row>
    <row r="137" spans="1:17" ht="15.75" customHeight="1" x14ac:dyDescent="0.35">
      <c r="A137" s="40" t="s">
        <v>104</v>
      </c>
      <c r="B137" s="41">
        <v>70</v>
      </c>
      <c r="C137" s="41">
        <v>70</v>
      </c>
      <c r="D137" s="41">
        <v>70.2</v>
      </c>
      <c r="E137" s="41">
        <v>70</v>
      </c>
      <c r="F137" s="41">
        <v>70</v>
      </c>
      <c r="G137" s="41">
        <v>70</v>
      </c>
      <c r="H137" s="41">
        <v>70</v>
      </c>
      <c r="I137" s="41">
        <v>70</v>
      </c>
      <c r="J137" s="41">
        <v>70</v>
      </c>
      <c r="K137" s="41">
        <v>70</v>
      </c>
      <c r="L137" s="41">
        <v>70</v>
      </c>
      <c r="M137" s="41">
        <v>70</v>
      </c>
      <c r="O137" s="75"/>
      <c r="P137" s="75"/>
      <c r="Q137" s="67"/>
    </row>
    <row r="138" spans="1:17" ht="15.75" customHeight="1" x14ac:dyDescent="0.35">
      <c r="A138" s="44" t="s">
        <v>97</v>
      </c>
      <c r="B138" s="45">
        <v>4006623.9000000004</v>
      </c>
      <c r="C138" s="45">
        <v>4424288.29</v>
      </c>
      <c r="D138" s="45">
        <v>3767129.76</v>
      </c>
      <c r="E138" s="45">
        <v>3673744.81</v>
      </c>
      <c r="F138" s="45">
        <v>3625748.5500000003</v>
      </c>
      <c r="G138" s="45">
        <v>3623392.0900000003</v>
      </c>
      <c r="H138" s="45">
        <v>2905391.36</v>
      </c>
      <c r="I138" s="45">
        <v>3278953.99</v>
      </c>
      <c r="J138" s="45">
        <v>3935736.29</v>
      </c>
      <c r="K138" s="45">
        <v>3289465.91</v>
      </c>
      <c r="L138" s="45">
        <v>3606916.84</v>
      </c>
      <c r="M138" s="45">
        <v>2917494.11</v>
      </c>
      <c r="O138" s="45">
        <f>SUM(B138:M138)</f>
        <v>43054885.900000006</v>
      </c>
      <c r="P138" s="45">
        <f>O138+191921026</f>
        <v>234975911.90000001</v>
      </c>
      <c r="Q138" s="67"/>
    </row>
    <row r="139" spans="1:17" ht="15.75" customHeight="1" x14ac:dyDescent="0.35">
      <c r="A139" s="44" t="s">
        <v>102</v>
      </c>
      <c r="B139" s="45">
        <v>480794.87</v>
      </c>
      <c r="C139" s="45">
        <v>530914.59</v>
      </c>
      <c r="D139" s="45">
        <v>452055.56999999995</v>
      </c>
      <c r="E139" s="45">
        <v>440849.37</v>
      </c>
      <c r="F139" s="45">
        <v>435089.82</v>
      </c>
      <c r="G139" s="45">
        <v>434807.05000000005</v>
      </c>
      <c r="H139" s="45">
        <v>348646.95999999996</v>
      </c>
      <c r="I139" s="45">
        <v>393474.47000000003</v>
      </c>
      <c r="J139" s="45">
        <v>472288.35</v>
      </c>
      <c r="K139" s="45">
        <v>394735.91</v>
      </c>
      <c r="L139" s="45">
        <v>432830.02</v>
      </c>
      <c r="M139" s="45">
        <v>350099.30000000005</v>
      </c>
      <c r="O139" s="45">
        <f>SUM(B139:M139)</f>
        <v>5166586.28</v>
      </c>
      <c r="P139" s="45">
        <f>O139+24509334</f>
        <v>29675920.280000001</v>
      </c>
      <c r="Q139" s="67"/>
    </row>
    <row r="140" spans="1:17" ht="15.75" customHeight="1" x14ac:dyDescent="0.35">
      <c r="A140" s="44" t="s">
        <v>88</v>
      </c>
      <c r="B140" s="45">
        <v>80132.490000000005</v>
      </c>
      <c r="C140" s="45">
        <v>88485.790000000008</v>
      </c>
      <c r="D140" s="45">
        <v>75342.599999999991</v>
      </c>
      <c r="E140" s="45">
        <v>73474.89</v>
      </c>
      <c r="F140" s="45">
        <v>72514.97</v>
      </c>
      <c r="G140" s="45">
        <v>72467.850000000006</v>
      </c>
      <c r="H140" s="45">
        <v>58107.83</v>
      </c>
      <c r="I140" s="45">
        <v>65579.08</v>
      </c>
      <c r="J140" s="45">
        <v>78714.73</v>
      </c>
      <c r="K140" s="45">
        <v>65789.330000000016</v>
      </c>
      <c r="L140" s="45">
        <v>72138.349999999991</v>
      </c>
      <c r="M140" s="45">
        <v>58349.9</v>
      </c>
      <c r="O140" s="45">
        <f>SUM(B140:M140)</f>
        <v>861097.81</v>
      </c>
      <c r="P140" s="45">
        <f>O140+3838421</f>
        <v>4699518.8100000005</v>
      </c>
      <c r="Q140" s="67"/>
    </row>
    <row r="141" spans="1:17" ht="15.75" customHeight="1" x14ac:dyDescent="0.35">
      <c r="A141" s="40" t="s">
        <v>105</v>
      </c>
      <c r="B141" s="41">
        <v>0</v>
      </c>
      <c r="C141" s="41">
        <v>0</v>
      </c>
      <c r="D141" s="41">
        <v>0</v>
      </c>
      <c r="E141" s="41">
        <v>0</v>
      </c>
      <c r="F141" s="41">
        <v>0</v>
      </c>
      <c r="G141" s="41">
        <v>0</v>
      </c>
      <c r="H141" s="41">
        <v>0</v>
      </c>
      <c r="I141" s="41">
        <v>0</v>
      </c>
      <c r="J141" s="41">
        <v>0</v>
      </c>
      <c r="K141" s="41">
        <v>0</v>
      </c>
      <c r="L141" s="41">
        <v>0</v>
      </c>
      <c r="M141" s="41">
        <v>0</v>
      </c>
      <c r="O141" s="75"/>
      <c r="P141" s="75"/>
      <c r="Q141" s="67"/>
    </row>
    <row r="142" spans="1:17" ht="15.75" customHeight="1" x14ac:dyDescent="0.35">
      <c r="A142" s="44" t="s">
        <v>97</v>
      </c>
      <c r="B142" s="45">
        <v>0</v>
      </c>
      <c r="C142" s="45">
        <v>0</v>
      </c>
      <c r="D142" s="45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5">
        <v>0</v>
      </c>
      <c r="L142" s="45">
        <v>0</v>
      </c>
      <c r="M142" s="45">
        <v>0</v>
      </c>
      <c r="O142" s="45">
        <f>SUM(B142:M142)</f>
        <v>0</v>
      </c>
      <c r="P142" s="45">
        <f>O142</f>
        <v>0</v>
      </c>
      <c r="Q142" s="67"/>
    </row>
    <row r="143" spans="1:17" ht="15.75" customHeight="1" x14ac:dyDescent="0.35">
      <c r="A143" s="44" t="s">
        <v>102</v>
      </c>
      <c r="B143" s="45">
        <v>0</v>
      </c>
      <c r="C143" s="45">
        <v>0</v>
      </c>
      <c r="D143" s="45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5">
        <v>0</v>
      </c>
      <c r="L143" s="45">
        <v>0</v>
      </c>
      <c r="M143" s="45">
        <v>0</v>
      </c>
      <c r="O143" s="45">
        <f>SUM(B143:M143)</f>
        <v>0</v>
      </c>
      <c r="P143" s="45">
        <f>O143</f>
        <v>0</v>
      </c>
      <c r="Q143" s="67"/>
    </row>
    <row r="144" spans="1:17" ht="15.75" customHeight="1" x14ac:dyDescent="0.35">
      <c r="A144" s="44" t="s">
        <v>88</v>
      </c>
      <c r="B144" s="45">
        <v>0</v>
      </c>
      <c r="C144" s="45">
        <v>0</v>
      </c>
      <c r="D144" s="45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5">
        <v>0</v>
      </c>
      <c r="L144" s="45">
        <v>0</v>
      </c>
      <c r="M144" s="45">
        <v>0</v>
      </c>
      <c r="O144" s="45">
        <f>SUM(B144:M144)</f>
        <v>0</v>
      </c>
      <c r="P144" s="45">
        <f>O144</f>
        <v>0</v>
      </c>
      <c r="Q144" s="67"/>
    </row>
    <row r="145" spans="1:17" ht="15.75" customHeight="1" x14ac:dyDescent="0.35">
      <c r="A145" s="40" t="s">
        <v>106</v>
      </c>
      <c r="B145" s="41">
        <v>1</v>
      </c>
      <c r="C145" s="41">
        <v>1</v>
      </c>
      <c r="D145" s="41">
        <v>1</v>
      </c>
      <c r="E145" s="41">
        <v>2.4</v>
      </c>
      <c r="F145" s="41">
        <v>2</v>
      </c>
      <c r="G145" s="41">
        <v>2</v>
      </c>
      <c r="H145" s="41">
        <v>2</v>
      </c>
      <c r="I145" s="41">
        <v>2</v>
      </c>
      <c r="J145" s="41">
        <v>2</v>
      </c>
      <c r="K145" s="41">
        <v>2</v>
      </c>
      <c r="L145" s="41">
        <v>2</v>
      </c>
      <c r="M145" s="41">
        <v>2</v>
      </c>
      <c r="O145" s="75"/>
      <c r="P145" s="75"/>
      <c r="Q145" s="67"/>
    </row>
    <row r="146" spans="1:17" ht="15.75" customHeight="1" x14ac:dyDescent="0.35">
      <c r="A146" s="44" t="s">
        <v>97</v>
      </c>
      <c r="B146" s="45">
        <v>114043</v>
      </c>
      <c r="C146" s="45">
        <v>93702</v>
      </c>
      <c r="D146" s="45">
        <v>75062</v>
      </c>
      <c r="E146" s="45">
        <v>68512</v>
      </c>
      <c r="F146" s="45">
        <v>84374</v>
      </c>
      <c r="G146" s="45">
        <v>94281</v>
      </c>
      <c r="H146" s="45">
        <v>81883</v>
      </c>
      <c r="I146" s="45">
        <v>99883.5</v>
      </c>
      <c r="J146" s="45">
        <v>61311</v>
      </c>
      <c r="K146" s="45">
        <v>80079.5</v>
      </c>
      <c r="L146" s="45">
        <v>70368</v>
      </c>
      <c r="M146" s="45">
        <v>58590</v>
      </c>
      <c r="O146" s="45">
        <f>SUM(B146:M146)</f>
        <v>982089</v>
      </c>
      <c r="P146" s="45">
        <f>O146+1287860</f>
        <v>2269949</v>
      </c>
      <c r="Q146" s="67"/>
    </row>
    <row r="147" spans="1:17" ht="15.75" customHeight="1" x14ac:dyDescent="0.35">
      <c r="A147" s="44" t="s">
        <v>102</v>
      </c>
      <c r="B147" s="45">
        <v>52459.78</v>
      </c>
      <c r="C147" s="45">
        <v>43102.92</v>
      </c>
      <c r="D147" s="45">
        <v>34528.520000000004</v>
      </c>
      <c r="E147" s="45">
        <v>31515.519999999997</v>
      </c>
      <c r="F147" s="45">
        <v>38812.04</v>
      </c>
      <c r="G147" s="45">
        <v>43369.26</v>
      </c>
      <c r="H147" s="45">
        <v>37666.18</v>
      </c>
      <c r="I147" s="45">
        <v>45946.41</v>
      </c>
      <c r="J147" s="45">
        <v>28203.059999999998</v>
      </c>
      <c r="K147" s="45">
        <v>36836.57</v>
      </c>
      <c r="L147" s="45">
        <v>32369.279999999999</v>
      </c>
      <c r="M147" s="45">
        <v>26951.399999999998</v>
      </c>
      <c r="O147" s="45">
        <f>SUM(B147:M147)</f>
        <v>451760.94000000006</v>
      </c>
      <c r="P147" s="45">
        <f>O147+592416</f>
        <v>1044176.9400000001</v>
      </c>
      <c r="Q147" s="67"/>
    </row>
    <row r="148" spans="1:17" ht="15.75" customHeight="1" x14ac:dyDescent="0.35">
      <c r="A148" s="44" t="s">
        <v>88</v>
      </c>
      <c r="B148" s="45">
        <v>2280.86</v>
      </c>
      <c r="C148" s="45">
        <v>1874.0400000000002</v>
      </c>
      <c r="D148" s="45">
        <v>1501.24</v>
      </c>
      <c r="E148" s="45">
        <v>1370.24</v>
      </c>
      <c r="F148" s="45">
        <v>1687.48</v>
      </c>
      <c r="G148" s="45">
        <v>1885.6200000000001</v>
      </c>
      <c r="H148" s="45">
        <v>1637.66</v>
      </c>
      <c r="I148" s="45">
        <v>1997.6700000000003</v>
      </c>
      <c r="J148" s="45">
        <v>1226.22</v>
      </c>
      <c r="K148" s="45">
        <v>1601.59</v>
      </c>
      <c r="L148" s="45">
        <v>1407.3600000000001</v>
      </c>
      <c r="M148" s="45">
        <v>1171.8</v>
      </c>
      <c r="O148" s="45">
        <f>SUM(B148:M148)</f>
        <v>19641.78</v>
      </c>
      <c r="P148" s="45">
        <f>O148+25757</f>
        <v>45398.78</v>
      </c>
      <c r="Q148" s="67"/>
    </row>
    <row r="149" spans="1:17" ht="15.75" customHeight="1" x14ac:dyDescent="0.35">
      <c r="A149" s="44"/>
      <c r="B149" s="45"/>
      <c r="C149" s="45"/>
      <c r="D149" s="45"/>
      <c r="E149" s="45"/>
      <c r="F149" s="45"/>
      <c r="G149" s="45"/>
      <c r="I149" s="45"/>
      <c r="J149" s="45"/>
      <c r="K149" s="45"/>
      <c r="L149" s="45"/>
      <c r="M149" s="45"/>
      <c r="O149" s="45"/>
      <c r="P149" s="45"/>
      <c r="Q149" s="67"/>
    </row>
    <row r="150" spans="1:17" ht="15.75" customHeight="1" x14ac:dyDescent="0.35">
      <c r="A150" s="53" t="s">
        <v>98</v>
      </c>
      <c r="B150" s="45"/>
      <c r="C150" s="45"/>
      <c r="D150" s="45"/>
      <c r="E150" s="45"/>
      <c r="F150" s="45"/>
      <c r="G150" s="45"/>
      <c r="I150" s="45"/>
      <c r="J150" s="45"/>
      <c r="K150" s="45"/>
      <c r="L150" s="45"/>
      <c r="M150" s="45"/>
      <c r="O150" s="45"/>
      <c r="P150" s="45"/>
      <c r="Q150" s="67"/>
    </row>
    <row r="151" spans="1:17" ht="15.75" customHeight="1" x14ac:dyDescent="0.35">
      <c r="A151" s="40" t="s">
        <v>87</v>
      </c>
      <c r="B151" s="41">
        <v>70</v>
      </c>
      <c r="C151" s="41">
        <v>70</v>
      </c>
      <c r="D151" s="41">
        <v>69</v>
      </c>
      <c r="E151" s="41">
        <v>66</v>
      </c>
      <c r="F151" s="41">
        <v>66</v>
      </c>
      <c r="G151" s="41">
        <v>66</v>
      </c>
      <c r="H151" s="41">
        <v>66</v>
      </c>
      <c r="I151" s="41">
        <v>66</v>
      </c>
      <c r="J151" s="41">
        <v>66</v>
      </c>
      <c r="K151" s="41">
        <v>67.2</v>
      </c>
      <c r="L151" s="41">
        <v>72.833333333333329</v>
      </c>
      <c r="M151" s="41">
        <v>73</v>
      </c>
      <c r="O151" s="75"/>
      <c r="P151" s="75"/>
      <c r="Q151" s="67"/>
    </row>
    <row r="152" spans="1:17" ht="15.75" customHeight="1" x14ac:dyDescent="0.35">
      <c r="A152" s="44" t="s">
        <v>97</v>
      </c>
      <c r="B152" s="45">
        <v>3043953</v>
      </c>
      <c r="C152" s="45">
        <v>2483970.25</v>
      </c>
      <c r="D152" s="45">
        <v>2807528.75</v>
      </c>
      <c r="E152" s="45">
        <v>2656171.75</v>
      </c>
      <c r="F152" s="45">
        <v>2512464.5</v>
      </c>
      <c r="G152" s="45">
        <v>3019993.25</v>
      </c>
      <c r="H152" s="45">
        <v>2579081.5</v>
      </c>
      <c r="I152" s="45">
        <v>2859409</v>
      </c>
      <c r="J152" s="45">
        <v>2898830.5</v>
      </c>
      <c r="K152" s="45">
        <v>3061950.25</v>
      </c>
      <c r="L152" s="45">
        <v>2963434.75</v>
      </c>
      <c r="M152" s="45">
        <v>2620670.25</v>
      </c>
      <c r="O152" s="45">
        <f>SUM(B152:M152)</f>
        <v>33507457.75</v>
      </c>
      <c r="P152" s="45">
        <f>O152+180110212</f>
        <v>213617669.75</v>
      </c>
      <c r="Q152" s="67"/>
    </row>
    <row r="153" spans="1:17" ht="15.75" customHeight="1" x14ac:dyDescent="0.35">
      <c r="A153" s="44" t="s">
        <v>102</v>
      </c>
      <c r="B153" s="45">
        <v>365274.36</v>
      </c>
      <c r="C153" s="45">
        <v>298076.43000000005</v>
      </c>
      <c r="D153" s="45">
        <v>336903.45</v>
      </c>
      <c r="E153" s="45">
        <v>318740.61</v>
      </c>
      <c r="F153" s="45">
        <v>301495.74</v>
      </c>
      <c r="G153" s="45">
        <v>362399.19000000006</v>
      </c>
      <c r="H153" s="45">
        <v>309489.78000000003</v>
      </c>
      <c r="I153" s="45">
        <v>343129.07999999996</v>
      </c>
      <c r="J153" s="45">
        <v>347859.66</v>
      </c>
      <c r="K153" s="45">
        <v>367434.03</v>
      </c>
      <c r="L153" s="45">
        <v>370711.74</v>
      </c>
      <c r="M153" s="45">
        <v>328341.37999999995</v>
      </c>
      <c r="O153" s="45">
        <f>SUM(B153:M153)</f>
        <v>4049855.4500000011</v>
      </c>
      <c r="P153" s="45">
        <f>O153+23108368</f>
        <v>27158223.450000003</v>
      </c>
      <c r="Q153" s="67"/>
    </row>
    <row r="154" spans="1:17" ht="15.75" customHeight="1" x14ac:dyDescent="0.35">
      <c r="A154" s="44" t="s">
        <v>88</v>
      </c>
      <c r="B154" s="45">
        <v>60879.08</v>
      </c>
      <c r="C154" s="45">
        <v>49679.42</v>
      </c>
      <c r="D154" s="45">
        <v>56150.59</v>
      </c>
      <c r="E154" s="45">
        <v>53123.439999999995</v>
      </c>
      <c r="F154" s="45">
        <v>50249.3</v>
      </c>
      <c r="G154" s="45">
        <v>60399.88</v>
      </c>
      <c r="H154" s="45">
        <v>51581.64</v>
      </c>
      <c r="I154" s="45">
        <v>57188.189999999995</v>
      </c>
      <c r="J154" s="45">
        <v>57976.619999999995</v>
      </c>
      <c r="K154" s="45">
        <v>61239.02</v>
      </c>
      <c r="L154" s="45">
        <v>59268.71</v>
      </c>
      <c r="M154" s="45">
        <v>52413.42</v>
      </c>
      <c r="O154" s="45">
        <f>SUM(B154:M154)</f>
        <v>670149.31000000006</v>
      </c>
      <c r="P154" s="45">
        <f>O154+3602205</f>
        <v>4272354.3100000005</v>
      </c>
      <c r="Q154" s="67"/>
    </row>
    <row r="155" spans="1:17" ht="15.75" customHeight="1" x14ac:dyDescent="0.35">
      <c r="A155" s="40" t="s">
        <v>103</v>
      </c>
      <c r="B155" s="41">
        <v>16</v>
      </c>
      <c r="C155" s="41">
        <v>16</v>
      </c>
      <c r="D155" s="41">
        <v>16</v>
      </c>
      <c r="E155" s="41">
        <v>16</v>
      </c>
      <c r="F155" s="41">
        <v>16</v>
      </c>
      <c r="G155" s="41">
        <v>16</v>
      </c>
      <c r="H155" s="41">
        <v>16</v>
      </c>
      <c r="I155" s="41">
        <v>16</v>
      </c>
      <c r="J155" s="41">
        <v>16</v>
      </c>
      <c r="K155" s="41">
        <v>16</v>
      </c>
      <c r="L155" s="41">
        <v>16</v>
      </c>
      <c r="M155" s="41">
        <v>16</v>
      </c>
      <c r="O155" s="75"/>
      <c r="P155" s="75"/>
      <c r="Q155" s="67"/>
    </row>
    <row r="156" spans="1:17" ht="15.75" customHeight="1" x14ac:dyDescent="0.35">
      <c r="A156" s="44" t="s">
        <v>97</v>
      </c>
      <c r="B156" s="45">
        <v>320803</v>
      </c>
      <c r="C156" s="45">
        <v>287449</v>
      </c>
      <c r="D156" s="45">
        <v>259285</v>
      </c>
      <c r="E156" s="45">
        <v>294223</v>
      </c>
      <c r="F156" s="45">
        <v>293345</v>
      </c>
      <c r="G156" s="45">
        <v>317236</v>
      </c>
      <c r="H156" s="45">
        <v>297049</v>
      </c>
      <c r="I156" s="45">
        <v>339654</v>
      </c>
      <c r="J156" s="45">
        <v>330018</v>
      </c>
      <c r="K156" s="45">
        <v>342263</v>
      </c>
      <c r="L156" s="45">
        <v>317908</v>
      </c>
      <c r="M156" s="45">
        <v>287397</v>
      </c>
      <c r="O156" s="45">
        <f>SUM(B156:M156)</f>
        <v>3686630</v>
      </c>
      <c r="P156" s="45">
        <f>O156+21561468</f>
        <v>25248098</v>
      </c>
      <c r="Q156" s="67"/>
    </row>
    <row r="157" spans="1:17" ht="15.75" customHeight="1" x14ac:dyDescent="0.35">
      <c r="A157" s="44" t="s">
        <v>102</v>
      </c>
      <c r="B157" s="45">
        <v>38496.36</v>
      </c>
      <c r="C157" s="45">
        <v>34493.880000000005</v>
      </c>
      <c r="D157" s="45">
        <v>31114.199999999997</v>
      </c>
      <c r="E157" s="45">
        <v>35306.759999999995</v>
      </c>
      <c r="F157" s="45">
        <v>35201.4</v>
      </c>
      <c r="G157" s="45">
        <v>38068.32</v>
      </c>
      <c r="H157" s="45">
        <v>35645.879999999997</v>
      </c>
      <c r="I157" s="45">
        <v>40758.480000000003</v>
      </c>
      <c r="J157" s="45">
        <v>39602.160000000003</v>
      </c>
      <c r="K157" s="45">
        <v>41071.56</v>
      </c>
      <c r="L157" s="45">
        <v>38148.959999999999</v>
      </c>
      <c r="M157" s="45">
        <v>34487.64</v>
      </c>
      <c r="O157" s="45">
        <f>SUM(B157:M157)</f>
        <v>442395.60000000009</v>
      </c>
      <c r="P157" s="45">
        <f>O157+2779637</f>
        <v>3222032.6</v>
      </c>
      <c r="Q157" s="67"/>
    </row>
    <row r="158" spans="1:17" ht="15.75" customHeight="1" x14ac:dyDescent="0.35">
      <c r="A158" s="44" t="s">
        <v>88</v>
      </c>
      <c r="B158" s="45">
        <v>6416.06</v>
      </c>
      <c r="C158" s="45">
        <v>5748.9800000000005</v>
      </c>
      <c r="D158" s="45">
        <v>5185.7</v>
      </c>
      <c r="E158" s="45">
        <v>5884.46</v>
      </c>
      <c r="F158" s="45">
        <v>5866.9</v>
      </c>
      <c r="G158" s="45">
        <v>6344.7199999999993</v>
      </c>
      <c r="H158" s="45">
        <v>5940.9800000000005</v>
      </c>
      <c r="I158" s="45">
        <v>6793.08</v>
      </c>
      <c r="J158" s="45">
        <v>6600.36</v>
      </c>
      <c r="K158" s="45">
        <v>6845.26</v>
      </c>
      <c r="L158" s="45">
        <v>6358.16</v>
      </c>
      <c r="M158" s="45">
        <v>5747.94</v>
      </c>
      <c r="O158" s="45">
        <f>SUM(B158:M158)</f>
        <v>73732.600000000006</v>
      </c>
      <c r="P158" s="45">
        <f>O158+431230</f>
        <v>504962.6</v>
      </c>
      <c r="Q158" s="67"/>
    </row>
    <row r="159" spans="1:17" ht="15.75" customHeight="1" x14ac:dyDescent="0.35">
      <c r="A159" s="40" t="s">
        <v>104</v>
      </c>
      <c r="B159" s="41">
        <v>54</v>
      </c>
      <c r="C159" s="41">
        <v>54</v>
      </c>
      <c r="D159" s="41">
        <v>53</v>
      </c>
      <c r="E159" s="41">
        <v>50</v>
      </c>
      <c r="F159" s="41">
        <v>50</v>
      </c>
      <c r="G159" s="41">
        <v>50</v>
      </c>
      <c r="H159" s="41">
        <v>50</v>
      </c>
      <c r="I159" s="41">
        <v>50</v>
      </c>
      <c r="J159" s="41">
        <v>50</v>
      </c>
      <c r="K159" s="41">
        <v>51.2</v>
      </c>
      <c r="L159" s="41">
        <v>56</v>
      </c>
      <c r="M159" s="41">
        <v>56</v>
      </c>
      <c r="O159" s="75"/>
      <c r="P159" s="75"/>
      <c r="Q159" s="67"/>
    </row>
    <row r="160" spans="1:17" ht="15.75" customHeight="1" x14ac:dyDescent="0.35">
      <c r="A160" s="44" t="s">
        <v>97</v>
      </c>
      <c r="B160" s="45">
        <v>2723150</v>
      </c>
      <c r="C160" s="45">
        <v>2196521.25</v>
      </c>
      <c r="D160" s="45">
        <v>2548243.75</v>
      </c>
      <c r="E160" s="45">
        <v>2361948.75</v>
      </c>
      <c r="F160" s="45">
        <v>2219119.5</v>
      </c>
      <c r="G160" s="45">
        <v>2702757.25</v>
      </c>
      <c r="H160" s="45">
        <v>2282032.5</v>
      </c>
      <c r="I160" s="45">
        <v>2519755</v>
      </c>
      <c r="J160" s="45">
        <v>2568812.5</v>
      </c>
      <c r="K160" s="45">
        <v>2719687.25</v>
      </c>
      <c r="L160" s="45">
        <v>2601116.25</v>
      </c>
      <c r="M160" s="45">
        <v>2292505.75</v>
      </c>
      <c r="O160" s="45">
        <f>SUM(B160:M160)</f>
        <v>29735649.75</v>
      </c>
      <c r="P160" s="45">
        <f>O160+158476033</f>
        <v>188211682.75</v>
      </c>
      <c r="Q160" s="67"/>
    </row>
    <row r="161" spans="1:17" ht="15.75" customHeight="1" x14ac:dyDescent="0.35">
      <c r="A161" s="44" t="s">
        <v>102</v>
      </c>
      <c r="B161" s="45">
        <v>326778</v>
      </c>
      <c r="C161" s="45">
        <v>263582.55</v>
      </c>
      <c r="D161" s="45">
        <v>305789.25</v>
      </c>
      <c r="E161" s="45">
        <v>283433.84999999998</v>
      </c>
      <c r="F161" s="45">
        <v>266294.33999999997</v>
      </c>
      <c r="G161" s="45">
        <v>324330.87000000005</v>
      </c>
      <c r="H161" s="45">
        <v>273843.90000000002</v>
      </c>
      <c r="I161" s="45">
        <v>302370.59999999998</v>
      </c>
      <c r="J161" s="45">
        <v>308257.5</v>
      </c>
      <c r="K161" s="45">
        <v>326362.46999999997</v>
      </c>
      <c r="L161" s="45">
        <v>312133.94999999995</v>
      </c>
      <c r="M161" s="45">
        <v>275100.69</v>
      </c>
      <c r="O161" s="45">
        <f>SUM(B161:M161)</f>
        <v>3568277.97</v>
      </c>
      <c r="P161" s="45">
        <f>O161+20320005</f>
        <v>23888282.969999999</v>
      </c>
      <c r="Q161" s="67"/>
    </row>
    <row r="162" spans="1:17" ht="15.75" customHeight="1" x14ac:dyDescent="0.35">
      <c r="A162" s="44" t="s">
        <v>88</v>
      </c>
      <c r="B162" s="45">
        <v>54463.02</v>
      </c>
      <c r="C162" s="45">
        <v>43930.439999999995</v>
      </c>
      <c r="D162" s="45">
        <v>50964.890000000007</v>
      </c>
      <c r="E162" s="45">
        <v>47238.979999999996</v>
      </c>
      <c r="F162" s="45">
        <v>44382.400000000001</v>
      </c>
      <c r="G162" s="45">
        <v>54055.159999999996</v>
      </c>
      <c r="H162" s="45">
        <v>45640.66</v>
      </c>
      <c r="I162" s="45">
        <v>50395.11</v>
      </c>
      <c r="J162" s="45">
        <v>51376.259999999995</v>
      </c>
      <c r="K162" s="45">
        <v>54393.760000000002</v>
      </c>
      <c r="L162" s="45">
        <v>52022.340000000004</v>
      </c>
      <c r="M162" s="45">
        <v>45850.130000000005</v>
      </c>
      <c r="O162" s="45">
        <f>SUM(B162:M162)</f>
        <v>594713.15</v>
      </c>
      <c r="P162" s="45">
        <f>O162+3169522</f>
        <v>3764235.15</v>
      </c>
      <c r="Q162" s="67"/>
    </row>
    <row r="163" spans="1:17" ht="15.75" customHeight="1" x14ac:dyDescent="0.35">
      <c r="A163" s="40" t="s">
        <v>105</v>
      </c>
      <c r="B163" s="41">
        <v>0</v>
      </c>
      <c r="C163" s="41">
        <v>0</v>
      </c>
      <c r="D163" s="41">
        <v>0</v>
      </c>
      <c r="E163" s="41">
        <v>0</v>
      </c>
      <c r="F163" s="41">
        <v>0</v>
      </c>
      <c r="G163" s="41">
        <v>0</v>
      </c>
      <c r="H163" s="41">
        <v>0</v>
      </c>
      <c r="I163" s="41">
        <v>0</v>
      </c>
      <c r="J163" s="41">
        <v>0</v>
      </c>
      <c r="K163" s="41">
        <v>0</v>
      </c>
      <c r="L163" s="41">
        <v>0</v>
      </c>
      <c r="M163" s="41">
        <v>0</v>
      </c>
      <c r="O163" s="75"/>
      <c r="P163" s="75"/>
      <c r="Q163" s="67"/>
    </row>
    <row r="164" spans="1:17" ht="15.75" customHeight="1" x14ac:dyDescent="0.35">
      <c r="A164" s="44" t="s">
        <v>97</v>
      </c>
      <c r="B164" s="45">
        <v>0</v>
      </c>
      <c r="C164" s="45">
        <v>0</v>
      </c>
      <c r="D164" s="45">
        <v>0</v>
      </c>
      <c r="E164" s="45">
        <v>0</v>
      </c>
      <c r="F164" s="45">
        <v>0</v>
      </c>
      <c r="G164" s="45">
        <v>0</v>
      </c>
      <c r="H164" s="45">
        <v>0</v>
      </c>
      <c r="I164" s="45">
        <v>0</v>
      </c>
      <c r="J164" s="45">
        <v>0</v>
      </c>
      <c r="K164" s="45">
        <v>0</v>
      </c>
      <c r="L164" s="45">
        <v>0</v>
      </c>
      <c r="M164" s="45">
        <v>0</v>
      </c>
      <c r="O164" s="45">
        <f>SUM(B164:M164)</f>
        <v>0</v>
      </c>
      <c r="P164" s="45">
        <f>O164+72711</f>
        <v>72711</v>
      </c>
      <c r="Q164" s="67"/>
    </row>
    <row r="165" spans="1:17" ht="15.75" customHeight="1" x14ac:dyDescent="0.35">
      <c r="A165" s="44" t="s">
        <v>102</v>
      </c>
      <c r="B165" s="45">
        <v>0</v>
      </c>
      <c r="C165" s="45">
        <v>0</v>
      </c>
      <c r="D165" s="45">
        <v>0</v>
      </c>
      <c r="E165" s="45">
        <v>0</v>
      </c>
      <c r="F165" s="45">
        <v>0</v>
      </c>
      <c r="G165" s="45">
        <v>0</v>
      </c>
      <c r="H165" s="45">
        <v>0</v>
      </c>
      <c r="I165" s="45">
        <v>0</v>
      </c>
      <c r="J165" s="45">
        <v>0</v>
      </c>
      <c r="K165" s="45">
        <v>0</v>
      </c>
      <c r="L165" s="45">
        <v>0</v>
      </c>
      <c r="M165" s="45">
        <v>0</v>
      </c>
      <c r="O165" s="45">
        <f>SUM(B165:M165)</f>
        <v>0</v>
      </c>
      <c r="P165" s="45">
        <f>O165+8725</f>
        <v>8725</v>
      </c>
      <c r="Q165" s="67"/>
    </row>
    <row r="166" spans="1:17" ht="15.75" customHeight="1" x14ac:dyDescent="0.35">
      <c r="A166" s="44" t="s">
        <v>88</v>
      </c>
      <c r="B166" s="45">
        <v>0</v>
      </c>
      <c r="C166" s="45">
        <v>0</v>
      </c>
      <c r="D166" s="45">
        <v>0</v>
      </c>
      <c r="E166" s="45">
        <v>0</v>
      </c>
      <c r="F166" s="45">
        <v>0</v>
      </c>
      <c r="G166" s="45">
        <v>0</v>
      </c>
      <c r="H166" s="45">
        <v>0</v>
      </c>
      <c r="I166" s="45">
        <v>0</v>
      </c>
      <c r="J166" s="45">
        <v>0</v>
      </c>
      <c r="K166" s="45">
        <v>0</v>
      </c>
      <c r="L166" s="45">
        <v>0</v>
      </c>
      <c r="M166" s="45">
        <v>0</v>
      </c>
      <c r="O166" s="45">
        <f>SUM(B166:M166)</f>
        <v>0</v>
      </c>
      <c r="P166" s="45">
        <f>O166+1454</f>
        <v>1454</v>
      </c>
      <c r="Q166" s="67"/>
    </row>
    <row r="167" spans="1:17" ht="15.75" customHeight="1" x14ac:dyDescent="0.35">
      <c r="A167" s="40" t="s">
        <v>106</v>
      </c>
      <c r="B167" s="41">
        <v>0</v>
      </c>
      <c r="C167" s="41">
        <v>0</v>
      </c>
      <c r="D167" s="41">
        <v>0</v>
      </c>
      <c r="E167" s="41">
        <v>0</v>
      </c>
      <c r="F167" s="41">
        <v>0</v>
      </c>
      <c r="G167" s="41">
        <v>0</v>
      </c>
      <c r="H167" s="41">
        <v>0</v>
      </c>
      <c r="I167" s="41">
        <v>0</v>
      </c>
      <c r="J167" s="41">
        <v>0</v>
      </c>
      <c r="K167" s="41">
        <v>0</v>
      </c>
      <c r="L167" s="41">
        <v>1</v>
      </c>
      <c r="M167" s="41">
        <v>1</v>
      </c>
      <c r="O167" s="75"/>
      <c r="P167" s="75"/>
      <c r="Q167" s="67"/>
    </row>
    <row r="168" spans="1:17" ht="15.75" customHeight="1" x14ac:dyDescent="0.35">
      <c r="A168" s="44" t="s">
        <v>97</v>
      </c>
      <c r="B168" s="45">
        <v>0</v>
      </c>
      <c r="C168" s="45">
        <v>0</v>
      </c>
      <c r="D168" s="45">
        <v>0</v>
      </c>
      <c r="E168" s="45">
        <v>0</v>
      </c>
      <c r="F168" s="45">
        <v>0</v>
      </c>
      <c r="G168" s="45">
        <v>0</v>
      </c>
      <c r="H168" s="45">
        <v>0</v>
      </c>
      <c r="I168" s="45">
        <v>0</v>
      </c>
      <c r="J168" s="45">
        <v>0</v>
      </c>
      <c r="K168" s="45">
        <v>0</v>
      </c>
      <c r="L168" s="45">
        <v>44410.5</v>
      </c>
      <c r="M168" s="45">
        <v>40767.5</v>
      </c>
      <c r="O168" s="45">
        <f>SUM(B168:M168)</f>
        <v>85178</v>
      </c>
      <c r="P168" s="45">
        <f>O168</f>
        <v>85178</v>
      </c>
      <c r="Q168" s="67"/>
    </row>
    <row r="169" spans="1:17" ht="15.75" customHeight="1" x14ac:dyDescent="0.35">
      <c r="A169" s="44" t="s">
        <v>102</v>
      </c>
      <c r="B169" s="45">
        <v>0</v>
      </c>
      <c r="C169" s="45">
        <v>0</v>
      </c>
      <c r="D169" s="45">
        <v>0</v>
      </c>
      <c r="E169" s="45">
        <v>0</v>
      </c>
      <c r="F169" s="45">
        <v>0</v>
      </c>
      <c r="G169" s="45">
        <v>0</v>
      </c>
      <c r="H169" s="45">
        <v>0</v>
      </c>
      <c r="I169" s="45">
        <v>0</v>
      </c>
      <c r="J169" s="45">
        <v>0</v>
      </c>
      <c r="K169" s="45">
        <v>0</v>
      </c>
      <c r="L169" s="45">
        <v>20428.829999999998</v>
      </c>
      <c r="M169" s="45">
        <v>18753.05</v>
      </c>
      <c r="O169" s="45">
        <f>SUM(B169:M169)</f>
        <v>39181.879999999997</v>
      </c>
      <c r="P169" s="45">
        <f>O169</f>
        <v>39181.879999999997</v>
      </c>
      <c r="Q169" s="67"/>
    </row>
    <row r="170" spans="1:17" ht="15.75" customHeight="1" x14ac:dyDescent="0.35">
      <c r="A170" s="44" t="s">
        <v>88</v>
      </c>
      <c r="B170" s="45">
        <v>0</v>
      </c>
      <c r="C170" s="45">
        <v>0</v>
      </c>
      <c r="D170" s="45">
        <v>0</v>
      </c>
      <c r="E170" s="45">
        <v>0</v>
      </c>
      <c r="F170" s="45">
        <v>0</v>
      </c>
      <c r="G170" s="45">
        <v>0</v>
      </c>
      <c r="H170" s="45">
        <v>0</v>
      </c>
      <c r="I170" s="45">
        <v>0</v>
      </c>
      <c r="J170" s="45">
        <v>0</v>
      </c>
      <c r="K170" s="45">
        <v>0</v>
      </c>
      <c r="L170" s="45">
        <v>888.21000000000015</v>
      </c>
      <c r="M170" s="45">
        <v>815.34999999999991</v>
      </c>
      <c r="O170" s="45">
        <f>SUM(B170:M170)</f>
        <v>1703.56</v>
      </c>
      <c r="P170" s="45">
        <f>O170</f>
        <v>1703.56</v>
      </c>
      <c r="Q170" s="67"/>
    </row>
    <row r="171" spans="1:17" ht="15.75" customHeight="1" x14ac:dyDescent="0.35">
      <c r="B171" s="45"/>
      <c r="C171" s="45"/>
      <c r="D171" s="45"/>
      <c r="E171" s="45"/>
      <c r="F171" s="45"/>
      <c r="G171" s="45"/>
      <c r="I171" s="45"/>
      <c r="J171" s="45"/>
      <c r="K171" s="45"/>
      <c r="L171" s="45"/>
      <c r="M171" s="45"/>
      <c r="O171" s="45"/>
      <c r="P171" s="45"/>
      <c r="Q171" s="67"/>
    </row>
    <row r="172" spans="1:17" ht="15.75" customHeight="1" x14ac:dyDescent="0.35">
      <c r="A172" s="53" t="s">
        <v>94</v>
      </c>
      <c r="B172" s="45"/>
      <c r="C172" s="45"/>
      <c r="D172" s="45"/>
      <c r="E172" s="45"/>
      <c r="F172" s="45"/>
      <c r="G172" s="45"/>
      <c r="I172" s="45"/>
      <c r="J172" s="45"/>
      <c r="K172" s="45"/>
      <c r="L172" s="45"/>
      <c r="M172" s="45"/>
      <c r="O172" s="45"/>
      <c r="P172" s="45"/>
      <c r="Q172" s="67"/>
    </row>
    <row r="173" spans="1:17" ht="15.75" customHeight="1" x14ac:dyDescent="0.35">
      <c r="A173" s="40" t="s">
        <v>87</v>
      </c>
      <c r="B173" s="41">
        <v>207</v>
      </c>
      <c r="C173" s="41">
        <v>207</v>
      </c>
      <c r="D173" s="41">
        <v>207</v>
      </c>
      <c r="E173" s="41">
        <v>207</v>
      </c>
      <c r="F173" s="41">
        <v>207</v>
      </c>
      <c r="G173" s="41">
        <v>207</v>
      </c>
      <c r="H173" s="41">
        <v>207</v>
      </c>
      <c r="I173" s="41">
        <v>207</v>
      </c>
      <c r="J173" s="41">
        <v>207</v>
      </c>
      <c r="K173" s="41">
        <v>207</v>
      </c>
      <c r="L173" s="41">
        <v>207</v>
      </c>
      <c r="M173" s="41">
        <v>207</v>
      </c>
      <c r="O173" s="75"/>
      <c r="P173" s="75"/>
      <c r="Q173" s="67"/>
    </row>
    <row r="174" spans="1:17" ht="15.75" customHeight="1" x14ac:dyDescent="0.35">
      <c r="A174" s="44" t="s">
        <v>97</v>
      </c>
      <c r="B174" s="45">
        <v>18884193.34</v>
      </c>
      <c r="C174" s="45">
        <v>19533677.079999998</v>
      </c>
      <c r="D174" s="45">
        <v>18754193.149999999</v>
      </c>
      <c r="E174" s="45">
        <v>18769882.949999999</v>
      </c>
      <c r="F174" s="45">
        <v>17831522.18</v>
      </c>
      <c r="G174" s="45">
        <v>19849673.690000001</v>
      </c>
      <c r="H174" s="45">
        <v>21010401.720000003</v>
      </c>
      <c r="I174" s="45">
        <v>17504518.920000002</v>
      </c>
      <c r="J174" s="45">
        <v>19676813.920000002</v>
      </c>
      <c r="K174" s="45">
        <v>17701195.75</v>
      </c>
      <c r="L174" s="45">
        <v>19555560.550000001</v>
      </c>
      <c r="M174" s="45">
        <v>19093476.190000001</v>
      </c>
      <c r="O174" s="45">
        <f>SUM(B174:M174)</f>
        <v>228165109.44</v>
      </c>
      <c r="P174" s="45">
        <f>O174+746580760</f>
        <v>974745869.44000006</v>
      </c>
      <c r="Q174" s="67"/>
    </row>
    <row r="175" spans="1:17" ht="15.75" customHeight="1" x14ac:dyDescent="0.35">
      <c r="A175" s="44" t="s">
        <v>102</v>
      </c>
      <c r="B175" s="45">
        <v>2266103.19</v>
      </c>
      <c r="C175" s="45">
        <v>2344041.2499999995</v>
      </c>
      <c r="D175" s="45">
        <v>2250503.1800000002</v>
      </c>
      <c r="E175" s="45">
        <v>2252385.9500000002</v>
      </c>
      <c r="F175" s="45">
        <v>2139782.66</v>
      </c>
      <c r="G175" s="45">
        <v>2381960.84</v>
      </c>
      <c r="H175" s="45">
        <v>2521248.21</v>
      </c>
      <c r="I175" s="45">
        <v>2100542.2799999998</v>
      </c>
      <c r="J175" s="45">
        <v>2361217.66</v>
      </c>
      <c r="K175" s="45">
        <v>2124143.48</v>
      </c>
      <c r="L175" s="45">
        <v>2346667.2699999996</v>
      </c>
      <c r="M175" s="45">
        <v>2291217.1399999997</v>
      </c>
      <c r="O175" s="45">
        <f>SUM(B175:M175)</f>
        <v>27379813.110000003</v>
      </c>
      <c r="P175" s="45">
        <f>O175+93739017</f>
        <v>121118830.11</v>
      </c>
      <c r="Q175" s="67"/>
    </row>
    <row r="176" spans="1:17" ht="15.75" customHeight="1" x14ac:dyDescent="0.35">
      <c r="A176" s="44" t="s">
        <v>88</v>
      </c>
      <c r="B176" s="45">
        <v>377683.87000000005</v>
      </c>
      <c r="C176" s="45">
        <v>390673.55</v>
      </c>
      <c r="D176" s="45">
        <v>375083.87000000005</v>
      </c>
      <c r="E176" s="45">
        <v>375397.66</v>
      </c>
      <c r="F176" s="45">
        <v>356630.44000000006</v>
      </c>
      <c r="G176" s="45">
        <v>396993.47</v>
      </c>
      <c r="H176" s="45">
        <v>420208.04</v>
      </c>
      <c r="I176" s="45">
        <v>350090.38</v>
      </c>
      <c r="J176" s="45">
        <v>393536.28</v>
      </c>
      <c r="K176" s="45">
        <v>354023.91</v>
      </c>
      <c r="L176" s="45">
        <v>391111.23</v>
      </c>
      <c r="M176" s="45">
        <v>381869.53</v>
      </c>
      <c r="O176" s="45">
        <f>SUM(B176:M176)</f>
        <v>4563302.2300000004</v>
      </c>
      <c r="P176" s="45">
        <f>O176+14931615</f>
        <v>19494917.23</v>
      </c>
      <c r="Q176" s="67"/>
    </row>
    <row r="177" spans="1:17" ht="15.75" customHeight="1" x14ac:dyDescent="0.35">
      <c r="A177" s="40" t="s">
        <v>103</v>
      </c>
      <c r="B177" s="41">
        <v>30</v>
      </c>
      <c r="C177" s="41">
        <v>30</v>
      </c>
      <c r="D177" s="41">
        <v>30</v>
      </c>
      <c r="E177" s="41">
        <v>30</v>
      </c>
      <c r="F177" s="41">
        <v>30</v>
      </c>
      <c r="G177" s="41">
        <v>30</v>
      </c>
      <c r="H177" s="41">
        <v>30</v>
      </c>
      <c r="I177" s="41">
        <v>30</v>
      </c>
      <c r="J177" s="41">
        <v>30</v>
      </c>
      <c r="K177" s="41">
        <v>30</v>
      </c>
      <c r="L177" s="41">
        <v>30</v>
      </c>
      <c r="M177" s="41">
        <v>30</v>
      </c>
      <c r="O177" s="75"/>
      <c r="P177" s="75"/>
      <c r="Q177" s="67"/>
    </row>
    <row r="178" spans="1:17" ht="15.75" customHeight="1" x14ac:dyDescent="0.35">
      <c r="A178" s="44" t="s">
        <v>97</v>
      </c>
      <c r="B178" s="45">
        <v>974983</v>
      </c>
      <c r="C178" s="45">
        <v>1037072</v>
      </c>
      <c r="D178" s="45">
        <v>908475</v>
      </c>
      <c r="E178" s="45">
        <v>881245</v>
      </c>
      <c r="F178" s="45">
        <v>907229</v>
      </c>
      <c r="G178" s="45">
        <v>913740</v>
      </c>
      <c r="H178" s="45">
        <v>922052</v>
      </c>
      <c r="I178" s="45">
        <v>875894</v>
      </c>
      <c r="J178" s="45">
        <v>899333</v>
      </c>
      <c r="K178" s="45">
        <v>883023</v>
      </c>
      <c r="L178" s="45">
        <v>929017</v>
      </c>
      <c r="M178" s="45">
        <v>812577</v>
      </c>
      <c r="O178" s="45">
        <f>SUM(B178:M178)</f>
        <v>10944640</v>
      </c>
      <c r="P178" s="45">
        <f>O178+51728202</f>
        <v>62672842</v>
      </c>
      <c r="Q178" s="67"/>
    </row>
    <row r="179" spans="1:17" ht="15.75" customHeight="1" x14ac:dyDescent="0.35">
      <c r="A179" s="44" t="s">
        <v>102</v>
      </c>
      <c r="B179" s="45">
        <v>116997.96</v>
      </c>
      <c r="C179" s="45">
        <v>124448.64</v>
      </c>
      <c r="D179" s="45">
        <v>109016.99999999999</v>
      </c>
      <c r="E179" s="45">
        <v>105749.4</v>
      </c>
      <c r="F179" s="45">
        <v>108867.48</v>
      </c>
      <c r="G179" s="45">
        <v>109648.8</v>
      </c>
      <c r="H179" s="45">
        <v>110646.24</v>
      </c>
      <c r="I179" s="45">
        <v>105107.27999999998</v>
      </c>
      <c r="J179" s="45">
        <v>107919.95999999999</v>
      </c>
      <c r="K179" s="45">
        <v>105962.76000000001</v>
      </c>
      <c r="L179" s="45">
        <v>111482.04</v>
      </c>
      <c r="M179" s="45">
        <v>97509.239999999991</v>
      </c>
      <c r="O179" s="45">
        <f>SUM(B179:M179)</f>
        <v>1313356.8</v>
      </c>
      <c r="P179" s="45">
        <f>O179+6590601</f>
        <v>7903957.7999999998</v>
      </c>
      <c r="Q179" s="67"/>
    </row>
    <row r="180" spans="1:17" ht="15.75" customHeight="1" x14ac:dyDescent="0.35">
      <c r="A180" s="44" t="s">
        <v>88</v>
      </c>
      <c r="B180" s="45">
        <v>19499.660000000003</v>
      </c>
      <c r="C180" s="45">
        <v>20741.439999999999</v>
      </c>
      <c r="D180" s="45">
        <v>18169.5</v>
      </c>
      <c r="E180" s="45">
        <v>17624.900000000001</v>
      </c>
      <c r="F180" s="45">
        <v>18144.580000000002</v>
      </c>
      <c r="G180" s="45">
        <v>18274.800000000003</v>
      </c>
      <c r="H180" s="45">
        <v>18441.04</v>
      </c>
      <c r="I180" s="45">
        <v>17517.88</v>
      </c>
      <c r="J180" s="45">
        <v>17986.66</v>
      </c>
      <c r="K180" s="45">
        <v>17660.46</v>
      </c>
      <c r="L180" s="45">
        <v>18580.34</v>
      </c>
      <c r="M180" s="45">
        <v>16251.54</v>
      </c>
      <c r="O180" s="45">
        <f>SUM(B180:M180)</f>
        <v>218892.80000000002</v>
      </c>
      <c r="P180" s="45">
        <f>O180+1034565</f>
        <v>1253457.8</v>
      </c>
      <c r="Q180" s="67"/>
    </row>
    <row r="181" spans="1:17" ht="15.75" customHeight="1" x14ac:dyDescent="0.35">
      <c r="A181" s="40" t="s">
        <v>104</v>
      </c>
      <c r="B181" s="41">
        <v>177</v>
      </c>
      <c r="C181" s="41">
        <v>177</v>
      </c>
      <c r="D181" s="41">
        <v>177</v>
      </c>
      <c r="E181" s="41">
        <v>177</v>
      </c>
      <c r="F181" s="41">
        <v>177</v>
      </c>
      <c r="G181" s="41">
        <v>177</v>
      </c>
      <c r="H181" s="41">
        <v>177</v>
      </c>
      <c r="I181" s="41">
        <v>177</v>
      </c>
      <c r="J181" s="41">
        <v>177</v>
      </c>
      <c r="K181" s="41">
        <v>177</v>
      </c>
      <c r="L181" s="41">
        <v>177</v>
      </c>
      <c r="M181" s="41">
        <v>177</v>
      </c>
      <c r="O181" s="75"/>
      <c r="P181" s="75"/>
      <c r="Q181" s="67"/>
    </row>
    <row r="182" spans="1:17" ht="15.75" customHeight="1" x14ac:dyDescent="0.35">
      <c r="A182" s="44" t="s">
        <v>97</v>
      </c>
      <c r="B182" s="45">
        <v>17909210.34</v>
      </c>
      <c r="C182" s="45">
        <v>18496605.079999998</v>
      </c>
      <c r="D182" s="45">
        <v>17845718.149999999</v>
      </c>
      <c r="E182" s="45">
        <v>17888637.949999999</v>
      </c>
      <c r="F182" s="45">
        <v>16924293.18</v>
      </c>
      <c r="G182" s="45">
        <v>18935933.690000001</v>
      </c>
      <c r="H182" s="45">
        <v>20088349.719999999</v>
      </c>
      <c r="I182" s="45">
        <v>16628624.920000002</v>
      </c>
      <c r="J182" s="45">
        <v>18777480.920000002</v>
      </c>
      <c r="K182" s="45">
        <v>16818172.75</v>
      </c>
      <c r="L182" s="45">
        <v>18626543.550000001</v>
      </c>
      <c r="M182" s="45">
        <v>18280899.189999998</v>
      </c>
      <c r="O182" s="45">
        <f>SUM(B182:M182)</f>
        <v>217220469.44</v>
      </c>
      <c r="P182" s="45">
        <f>O182+694852558</f>
        <v>912073027.44000006</v>
      </c>
      <c r="Q182" s="67"/>
    </row>
    <row r="183" spans="1:17" ht="15.75" customHeight="1" x14ac:dyDescent="0.35">
      <c r="A183" s="44" t="s">
        <v>102</v>
      </c>
      <c r="B183" s="45">
        <v>2149105.23</v>
      </c>
      <c r="C183" s="45">
        <v>2219592.61</v>
      </c>
      <c r="D183" s="45">
        <v>2141486.1800000002</v>
      </c>
      <c r="E183" s="45">
        <v>2146636.5499999998</v>
      </c>
      <c r="F183" s="45">
        <v>2030915.18</v>
      </c>
      <c r="G183" s="45">
        <v>2272312.04</v>
      </c>
      <c r="H183" s="45">
        <v>2410601.9699999997</v>
      </c>
      <c r="I183" s="45">
        <v>1995435</v>
      </c>
      <c r="J183" s="45">
        <v>2253297.7000000002</v>
      </c>
      <c r="K183" s="45">
        <v>2018180.72</v>
      </c>
      <c r="L183" s="45">
        <v>2235185.23</v>
      </c>
      <c r="M183" s="45">
        <v>2193707.9</v>
      </c>
      <c r="O183" s="45">
        <f>SUM(B183:M183)</f>
        <v>26066456.309999995</v>
      </c>
      <c r="P183" s="45">
        <f>O183+87148416</f>
        <v>113214872.31</v>
      </c>
      <c r="Q183" s="67"/>
    </row>
    <row r="184" spans="1:17" ht="15.75" customHeight="1" x14ac:dyDescent="0.35">
      <c r="A184" s="44" t="s">
        <v>88</v>
      </c>
      <c r="B184" s="45">
        <v>358184.20999999996</v>
      </c>
      <c r="C184" s="45">
        <v>369932.11</v>
      </c>
      <c r="D184" s="45">
        <v>356914.37</v>
      </c>
      <c r="E184" s="45">
        <v>357772.75999999995</v>
      </c>
      <c r="F184" s="45">
        <v>338485.85999999993</v>
      </c>
      <c r="G184" s="45">
        <v>378718.67000000004</v>
      </c>
      <c r="H184" s="45">
        <v>401767</v>
      </c>
      <c r="I184" s="45">
        <v>332572.5</v>
      </c>
      <c r="J184" s="45">
        <v>375549.62</v>
      </c>
      <c r="K184" s="45">
        <v>336363.44999999995</v>
      </c>
      <c r="L184" s="45">
        <v>372530.89</v>
      </c>
      <c r="M184" s="45">
        <v>365617.99</v>
      </c>
      <c r="O184" s="45">
        <f>SUM(B184:M184)</f>
        <v>4344409.43</v>
      </c>
      <c r="P184" s="45">
        <f>O184+13897052</f>
        <v>18241461.43</v>
      </c>
      <c r="Q184" s="67"/>
    </row>
    <row r="185" spans="1:17" ht="15.75" customHeight="1" x14ac:dyDescent="0.35">
      <c r="A185" s="40" t="s">
        <v>105</v>
      </c>
      <c r="B185" s="41">
        <v>0</v>
      </c>
      <c r="C185" s="41">
        <v>0</v>
      </c>
      <c r="D185" s="41">
        <v>0</v>
      </c>
      <c r="E185" s="41">
        <v>0</v>
      </c>
      <c r="F185" s="41">
        <v>0</v>
      </c>
      <c r="G185" s="41">
        <v>0</v>
      </c>
      <c r="H185" s="41">
        <v>0</v>
      </c>
      <c r="I185" s="41">
        <v>0</v>
      </c>
      <c r="J185" s="41">
        <v>0</v>
      </c>
      <c r="K185" s="41">
        <v>0</v>
      </c>
      <c r="L185" s="41">
        <v>0</v>
      </c>
      <c r="M185" s="41">
        <v>0</v>
      </c>
      <c r="O185" s="75"/>
      <c r="P185" s="75"/>
      <c r="Q185" s="67"/>
    </row>
    <row r="186" spans="1:17" ht="15.75" customHeight="1" x14ac:dyDescent="0.35">
      <c r="A186" s="44" t="s">
        <v>97</v>
      </c>
      <c r="B186" s="45">
        <v>0</v>
      </c>
      <c r="C186" s="45">
        <v>0</v>
      </c>
      <c r="D186" s="45">
        <v>0</v>
      </c>
      <c r="E186" s="45">
        <v>0</v>
      </c>
      <c r="F186" s="45">
        <v>0</v>
      </c>
      <c r="G186" s="45">
        <v>0</v>
      </c>
      <c r="H186" s="45">
        <v>0</v>
      </c>
      <c r="I186" s="45">
        <v>0</v>
      </c>
      <c r="J186" s="45">
        <v>0</v>
      </c>
      <c r="K186" s="45">
        <v>0</v>
      </c>
      <c r="L186" s="45">
        <v>0</v>
      </c>
      <c r="M186" s="45">
        <v>0</v>
      </c>
      <c r="O186" s="45">
        <f>SUM(B186:M186)</f>
        <v>0</v>
      </c>
      <c r="P186" s="45">
        <f>O186</f>
        <v>0</v>
      </c>
      <c r="Q186" s="67"/>
    </row>
    <row r="187" spans="1:17" ht="15.75" customHeight="1" x14ac:dyDescent="0.35">
      <c r="A187" s="44" t="s">
        <v>102</v>
      </c>
      <c r="B187" s="45">
        <v>0</v>
      </c>
      <c r="C187" s="45">
        <v>0</v>
      </c>
      <c r="D187" s="45">
        <v>0</v>
      </c>
      <c r="E187" s="45">
        <v>0</v>
      </c>
      <c r="F187" s="45">
        <v>0</v>
      </c>
      <c r="G187" s="45">
        <v>0</v>
      </c>
      <c r="H187" s="45">
        <v>0</v>
      </c>
      <c r="I187" s="45">
        <v>0</v>
      </c>
      <c r="J187" s="45">
        <v>0</v>
      </c>
      <c r="K187" s="45">
        <v>0</v>
      </c>
      <c r="L187" s="45">
        <v>0</v>
      </c>
      <c r="M187" s="45">
        <v>0</v>
      </c>
      <c r="O187" s="45">
        <f>SUM(B187:M187)</f>
        <v>0</v>
      </c>
      <c r="P187" s="45">
        <f>O187</f>
        <v>0</v>
      </c>
      <c r="Q187" s="67"/>
    </row>
    <row r="188" spans="1:17" ht="15.75" customHeight="1" x14ac:dyDescent="0.35">
      <c r="A188" s="44" t="s">
        <v>88</v>
      </c>
      <c r="B188" s="45">
        <v>0</v>
      </c>
      <c r="C188" s="45">
        <v>0</v>
      </c>
      <c r="D188" s="45">
        <v>0</v>
      </c>
      <c r="E188" s="45">
        <v>0</v>
      </c>
      <c r="F188" s="45">
        <v>0</v>
      </c>
      <c r="G188" s="45">
        <v>0</v>
      </c>
      <c r="H188" s="45">
        <v>0</v>
      </c>
      <c r="I188" s="45">
        <v>0</v>
      </c>
      <c r="J188" s="45">
        <v>0</v>
      </c>
      <c r="K188" s="45">
        <v>0</v>
      </c>
      <c r="L188" s="45">
        <v>0</v>
      </c>
      <c r="M188" s="45">
        <v>0</v>
      </c>
      <c r="O188" s="45">
        <f>SUM(B188:M188)</f>
        <v>0</v>
      </c>
      <c r="P188" s="45">
        <f>O188</f>
        <v>0</v>
      </c>
      <c r="Q188" s="67"/>
    </row>
    <row r="189" spans="1:17" ht="15.75" customHeight="1" x14ac:dyDescent="0.35">
      <c r="A189" s="40" t="s">
        <v>106</v>
      </c>
      <c r="B189" s="41">
        <v>0</v>
      </c>
      <c r="C189" s="41">
        <v>0</v>
      </c>
      <c r="D189" s="41">
        <v>0</v>
      </c>
      <c r="E189" s="41">
        <v>0</v>
      </c>
      <c r="F189" s="41">
        <v>0</v>
      </c>
      <c r="G189" s="41">
        <v>0</v>
      </c>
      <c r="H189" s="41">
        <v>0</v>
      </c>
      <c r="I189" s="41">
        <v>0</v>
      </c>
      <c r="J189" s="41">
        <v>0</v>
      </c>
      <c r="K189" s="41">
        <v>0</v>
      </c>
      <c r="L189" s="41">
        <v>0</v>
      </c>
      <c r="M189" s="41">
        <v>0</v>
      </c>
      <c r="O189" s="75"/>
      <c r="P189" s="75"/>
      <c r="Q189" s="67"/>
    </row>
    <row r="190" spans="1:17" ht="15.75" customHeight="1" x14ac:dyDescent="0.35">
      <c r="A190" s="44" t="s">
        <v>97</v>
      </c>
      <c r="B190" s="45">
        <v>0</v>
      </c>
      <c r="C190" s="45">
        <v>0</v>
      </c>
      <c r="D190" s="45">
        <v>0</v>
      </c>
      <c r="E190" s="45">
        <v>0</v>
      </c>
      <c r="F190" s="45">
        <v>0</v>
      </c>
      <c r="G190" s="45">
        <v>0</v>
      </c>
      <c r="H190" s="45">
        <v>0</v>
      </c>
      <c r="I190" s="45">
        <v>0</v>
      </c>
      <c r="J190" s="45">
        <v>0</v>
      </c>
      <c r="K190" s="45">
        <v>0</v>
      </c>
      <c r="L190" s="45">
        <v>0</v>
      </c>
      <c r="M190" s="45">
        <v>0</v>
      </c>
      <c r="O190" s="45">
        <f>SUM(B190:M190)</f>
        <v>0</v>
      </c>
      <c r="P190" s="45">
        <f>O190</f>
        <v>0</v>
      </c>
      <c r="Q190" s="67"/>
    </row>
    <row r="191" spans="1:17" ht="15.75" customHeight="1" x14ac:dyDescent="0.35">
      <c r="A191" s="44" t="s">
        <v>102</v>
      </c>
      <c r="B191" s="45">
        <v>0</v>
      </c>
      <c r="C191" s="45">
        <v>0</v>
      </c>
      <c r="D191" s="45">
        <v>0</v>
      </c>
      <c r="E191" s="45">
        <v>0</v>
      </c>
      <c r="F191" s="45">
        <v>0</v>
      </c>
      <c r="G191" s="45">
        <v>0</v>
      </c>
      <c r="H191" s="45">
        <v>0</v>
      </c>
      <c r="I191" s="45">
        <v>0</v>
      </c>
      <c r="J191" s="45">
        <v>0</v>
      </c>
      <c r="K191" s="45">
        <v>0</v>
      </c>
      <c r="L191" s="45">
        <v>0</v>
      </c>
      <c r="M191" s="45">
        <v>0</v>
      </c>
      <c r="O191" s="45">
        <f>SUM(B191:M191)</f>
        <v>0</v>
      </c>
      <c r="P191" s="45">
        <f>O191</f>
        <v>0</v>
      </c>
      <c r="Q191" s="67"/>
    </row>
    <row r="192" spans="1:17" ht="15.75" customHeight="1" x14ac:dyDescent="0.35">
      <c r="A192" s="44" t="s">
        <v>88</v>
      </c>
      <c r="B192" s="45">
        <v>0</v>
      </c>
      <c r="C192" s="45">
        <v>0</v>
      </c>
      <c r="D192" s="45">
        <v>0</v>
      </c>
      <c r="E192" s="45">
        <v>0</v>
      </c>
      <c r="F192" s="45">
        <v>0</v>
      </c>
      <c r="G192" s="45">
        <v>0</v>
      </c>
      <c r="H192" s="45">
        <v>0</v>
      </c>
      <c r="I192" s="45">
        <v>0</v>
      </c>
      <c r="J192" s="45">
        <v>0</v>
      </c>
      <c r="K192" s="45">
        <v>0</v>
      </c>
      <c r="L192" s="45">
        <v>0</v>
      </c>
      <c r="M192" s="45">
        <v>0</v>
      </c>
      <c r="O192" s="45">
        <f>SUM(B192:M192)</f>
        <v>0</v>
      </c>
      <c r="P192" s="45">
        <f>O192</f>
        <v>0</v>
      </c>
      <c r="Q192" s="67"/>
    </row>
    <row r="193" spans="1:17" ht="15.75" customHeight="1" x14ac:dyDescent="0.35">
      <c r="B193" s="41"/>
      <c r="C193" s="41"/>
      <c r="D193" s="41"/>
      <c r="E193" s="41"/>
      <c r="F193" s="41"/>
      <c r="G193" s="41"/>
      <c r="I193" s="41"/>
      <c r="J193" s="41"/>
      <c r="K193" s="41"/>
      <c r="L193" s="41"/>
      <c r="M193" s="41"/>
      <c r="O193" s="75"/>
      <c r="P193" s="75"/>
      <c r="Q193" s="67"/>
    </row>
    <row r="194" spans="1:17" ht="15.75" customHeight="1" x14ac:dyDescent="0.35">
      <c r="A194" s="53" t="s">
        <v>95</v>
      </c>
      <c r="B194" s="45"/>
      <c r="C194" s="45"/>
      <c r="D194" s="45"/>
      <c r="E194" s="45"/>
      <c r="F194" s="45"/>
      <c r="G194" s="45"/>
      <c r="I194" s="45"/>
      <c r="J194" s="45"/>
      <c r="K194" s="45"/>
      <c r="L194" s="45"/>
      <c r="M194" s="45"/>
      <c r="O194" s="45"/>
      <c r="P194" s="45"/>
      <c r="Q194" s="67"/>
    </row>
    <row r="195" spans="1:17" ht="15.75" customHeight="1" x14ac:dyDescent="0.35">
      <c r="A195" s="40" t="s">
        <v>87</v>
      </c>
      <c r="B195" s="41">
        <v>114</v>
      </c>
      <c r="C195" s="41">
        <v>114</v>
      </c>
      <c r="D195" s="41">
        <v>114</v>
      </c>
      <c r="E195" s="41">
        <v>114</v>
      </c>
      <c r="F195" s="41">
        <v>123.16666666666667</v>
      </c>
      <c r="G195" s="41">
        <v>125</v>
      </c>
      <c r="H195" s="41">
        <v>125</v>
      </c>
      <c r="I195" s="41">
        <v>125</v>
      </c>
      <c r="J195" s="41">
        <v>125</v>
      </c>
      <c r="K195" s="41">
        <v>125</v>
      </c>
      <c r="L195" s="41">
        <v>125</v>
      </c>
      <c r="M195" s="41">
        <v>120.2</v>
      </c>
      <c r="O195" s="75"/>
      <c r="P195" s="75"/>
      <c r="Q195" s="67"/>
    </row>
    <row r="196" spans="1:17" ht="15.75" customHeight="1" x14ac:dyDescent="0.35">
      <c r="A196" s="44" t="s">
        <v>97</v>
      </c>
      <c r="B196" s="45">
        <v>5703471.6600000001</v>
      </c>
      <c r="C196" s="45">
        <v>6557701.7599999998</v>
      </c>
      <c r="D196" s="45">
        <v>5907834.9499999993</v>
      </c>
      <c r="E196" s="45">
        <v>5678277.5100000007</v>
      </c>
      <c r="F196" s="45">
        <v>5667955.1299999999</v>
      </c>
      <c r="G196" s="45">
        <v>6022368.7599999998</v>
      </c>
      <c r="H196" s="45">
        <v>5435681.2800000003</v>
      </c>
      <c r="I196" s="45">
        <v>5564370.2599999998</v>
      </c>
      <c r="J196" s="45">
        <v>6695385.6600000001</v>
      </c>
      <c r="K196" s="45">
        <v>6652602.9799999995</v>
      </c>
      <c r="L196" s="45">
        <v>5425463.6200000001</v>
      </c>
      <c r="M196" s="45">
        <v>5384393.0199999996</v>
      </c>
      <c r="O196" s="45">
        <f>SUM(B196:M196)</f>
        <v>70695506.589999989</v>
      </c>
      <c r="P196" s="45">
        <f>O196+335842684</f>
        <v>406538190.58999997</v>
      </c>
      <c r="Q196" s="67"/>
    </row>
    <row r="197" spans="1:17" ht="15.75" customHeight="1" x14ac:dyDescent="0.35">
      <c r="A197" s="44" t="s">
        <v>102</v>
      </c>
      <c r="B197" s="45">
        <v>684416.59000000008</v>
      </c>
      <c r="C197" s="45">
        <v>786924.22000000009</v>
      </c>
      <c r="D197" s="45">
        <v>708940.18999999983</v>
      </c>
      <c r="E197" s="45">
        <v>681393.31</v>
      </c>
      <c r="F197" s="45">
        <v>680154.61</v>
      </c>
      <c r="G197" s="45">
        <v>722684.25999999989</v>
      </c>
      <c r="H197" s="45">
        <v>652281.75</v>
      </c>
      <c r="I197" s="45">
        <v>667724.43000000005</v>
      </c>
      <c r="J197" s="45">
        <v>803446.28</v>
      </c>
      <c r="K197" s="45">
        <v>798312.37000000011</v>
      </c>
      <c r="L197" s="45">
        <v>651055.63</v>
      </c>
      <c r="M197" s="45">
        <v>646127.15</v>
      </c>
      <c r="O197" s="45">
        <f>SUM(B197:M197)</f>
        <v>8483460.7899999991</v>
      </c>
      <c r="P197" s="45">
        <f>O197+42886926</f>
        <v>51370386.789999999</v>
      </c>
      <c r="Q197" s="67"/>
    </row>
    <row r="198" spans="1:17" ht="15.75" customHeight="1" x14ac:dyDescent="0.35">
      <c r="A198" s="44" t="s">
        <v>88</v>
      </c>
      <c r="B198" s="45">
        <v>114069.43</v>
      </c>
      <c r="C198" s="45">
        <v>131154.04</v>
      </c>
      <c r="D198" s="45">
        <v>118156.69999999998</v>
      </c>
      <c r="E198" s="45">
        <v>113565.54999999999</v>
      </c>
      <c r="F198" s="45">
        <v>113359.10999999999</v>
      </c>
      <c r="G198" s="45">
        <v>120447.38000000003</v>
      </c>
      <c r="H198" s="45">
        <v>108713.62</v>
      </c>
      <c r="I198" s="45">
        <v>111287.41</v>
      </c>
      <c r="J198" s="45">
        <v>133907.71</v>
      </c>
      <c r="K198" s="45">
        <v>133052.04999999999</v>
      </c>
      <c r="L198" s="45">
        <v>108509.28</v>
      </c>
      <c r="M198" s="45">
        <v>107687.86</v>
      </c>
      <c r="O198" s="45">
        <f>SUM(B198:M198)</f>
        <v>1413910.1400000001</v>
      </c>
      <c r="P198" s="45">
        <f>O198+6716855</f>
        <v>8130765.1400000006</v>
      </c>
      <c r="Q198" s="67"/>
    </row>
    <row r="199" spans="1:17" ht="15.75" customHeight="1" x14ac:dyDescent="0.35">
      <c r="A199" s="40" t="s">
        <v>103</v>
      </c>
      <c r="B199" s="41">
        <v>30</v>
      </c>
      <c r="C199" s="41">
        <v>30</v>
      </c>
      <c r="D199" s="41">
        <v>30</v>
      </c>
      <c r="E199" s="41">
        <v>30</v>
      </c>
      <c r="F199" s="41">
        <v>30</v>
      </c>
      <c r="G199" s="41">
        <v>30</v>
      </c>
      <c r="H199" s="41">
        <v>30</v>
      </c>
      <c r="I199" s="41">
        <v>30</v>
      </c>
      <c r="J199" s="41">
        <v>30</v>
      </c>
      <c r="K199" s="41">
        <v>30</v>
      </c>
      <c r="L199" s="41">
        <v>30</v>
      </c>
      <c r="M199" s="41">
        <v>30</v>
      </c>
      <c r="O199" s="75"/>
      <c r="P199" s="75"/>
      <c r="Q199" s="67"/>
    </row>
    <row r="200" spans="1:17" ht="15.75" customHeight="1" x14ac:dyDescent="0.35">
      <c r="A200" s="44" t="s">
        <v>97</v>
      </c>
      <c r="B200" s="45">
        <v>686621</v>
      </c>
      <c r="C200" s="45">
        <v>556426.01</v>
      </c>
      <c r="D200" s="45">
        <v>491751.02</v>
      </c>
      <c r="E200" s="45">
        <v>556015</v>
      </c>
      <c r="F200" s="45">
        <v>620240</v>
      </c>
      <c r="G200" s="45">
        <v>530148</v>
      </c>
      <c r="H200" s="45">
        <v>520365</v>
      </c>
      <c r="I200" s="45">
        <v>577251.25</v>
      </c>
      <c r="J200" s="45">
        <v>595584</v>
      </c>
      <c r="K200" s="45">
        <v>595018</v>
      </c>
      <c r="L200" s="45">
        <v>513489</v>
      </c>
      <c r="M200" s="45">
        <v>496702</v>
      </c>
      <c r="O200" s="45">
        <f>SUM(B200:M200)</f>
        <v>6739610.2800000003</v>
      </c>
      <c r="P200" s="45">
        <f>O200+35590722</f>
        <v>42330332.280000001</v>
      </c>
      <c r="Q200" s="67"/>
    </row>
    <row r="201" spans="1:17" ht="15.75" customHeight="1" x14ac:dyDescent="0.35">
      <c r="A201" s="44" t="s">
        <v>102</v>
      </c>
      <c r="B201" s="45">
        <v>82394.51999999999</v>
      </c>
      <c r="C201" s="45">
        <v>66771.12</v>
      </c>
      <c r="D201" s="45">
        <v>59010.119999999995</v>
      </c>
      <c r="E201" s="45">
        <v>66721.799999999988</v>
      </c>
      <c r="F201" s="45">
        <v>74428.800000000003</v>
      </c>
      <c r="G201" s="45">
        <v>63617.759999999995</v>
      </c>
      <c r="H201" s="45">
        <v>62443.8</v>
      </c>
      <c r="I201" s="45">
        <v>69270.149999999994</v>
      </c>
      <c r="J201" s="45">
        <v>71470.080000000002</v>
      </c>
      <c r="K201" s="45">
        <v>71402.16</v>
      </c>
      <c r="L201" s="45">
        <v>61618.68</v>
      </c>
      <c r="M201" s="45">
        <v>59604.24</v>
      </c>
      <c r="O201" s="45">
        <f>SUM(B201:M201)</f>
        <v>808753.23</v>
      </c>
      <c r="P201" s="45">
        <f>O201+4576172</f>
        <v>5384925.2300000004</v>
      </c>
      <c r="Q201" s="67"/>
    </row>
    <row r="202" spans="1:17" ht="15.75" customHeight="1" x14ac:dyDescent="0.35">
      <c r="A202" s="44" t="s">
        <v>88</v>
      </c>
      <c r="B202" s="45">
        <v>13732.42</v>
      </c>
      <c r="C202" s="45">
        <v>11128.52</v>
      </c>
      <c r="D202" s="45">
        <v>9835.0200000000023</v>
      </c>
      <c r="E202" s="45">
        <v>11120.3</v>
      </c>
      <c r="F202" s="45">
        <v>12404.8</v>
      </c>
      <c r="G202" s="45">
        <v>10602.960000000001</v>
      </c>
      <c r="H202" s="45">
        <v>10407.299999999999</v>
      </c>
      <c r="I202" s="45">
        <v>11545.029999999999</v>
      </c>
      <c r="J202" s="45">
        <v>11911.68</v>
      </c>
      <c r="K202" s="45">
        <v>11900.36</v>
      </c>
      <c r="L202" s="45">
        <v>10269.780000000001</v>
      </c>
      <c r="M202" s="45">
        <v>9934.0400000000009</v>
      </c>
      <c r="O202" s="45">
        <f>SUM(B202:M202)</f>
        <v>134792.21000000002</v>
      </c>
      <c r="P202" s="45">
        <f>O202+711814</f>
        <v>846606.21</v>
      </c>
      <c r="Q202" s="67"/>
    </row>
    <row r="203" spans="1:17" ht="15.75" customHeight="1" x14ac:dyDescent="0.35">
      <c r="A203" s="40" t="s">
        <v>104</v>
      </c>
      <c r="B203" s="41">
        <v>84</v>
      </c>
      <c r="C203" s="41">
        <v>84</v>
      </c>
      <c r="D203" s="41">
        <v>84</v>
      </c>
      <c r="E203" s="41">
        <v>84</v>
      </c>
      <c r="F203" s="41">
        <v>93.166666666666671</v>
      </c>
      <c r="G203" s="41">
        <v>95</v>
      </c>
      <c r="H203" s="41">
        <v>95</v>
      </c>
      <c r="I203" s="41">
        <v>95</v>
      </c>
      <c r="J203" s="41">
        <v>95</v>
      </c>
      <c r="K203" s="41">
        <v>95</v>
      </c>
      <c r="L203" s="41">
        <v>95</v>
      </c>
      <c r="M203" s="41">
        <v>90.2</v>
      </c>
      <c r="O203" s="75"/>
      <c r="P203" s="75"/>
      <c r="Q203" s="67"/>
    </row>
    <row r="204" spans="1:17" ht="15.75" customHeight="1" x14ac:dyDescent="0.35">
      <c r="A204" s="44" t="s">
        <v>97</v>
      </c>
      <c r="B204" s="45">
        <v>5016850.66</v>
      </c>
      <c r="C204" s="45">
        <v>6001275.75</v>
      </c>
      <c r="D204" s="45">
        <v>5416083.9299999997</v>
      </c>
      <c r="E204" s="45">
        <v>5122262.51</v>
      </c>
      <c r="F204" s="45">
        <v>5047715.13</v>
      </c>
      <c r="G204" s="45">
        <v>5492220.7599999998</v>
      </c>
      <c r="H204" s="45">
        <v>4915316.28</v>
      </c>
      <c r="I204" s="45">
        <v>4987119.01</v>
      </c>
      <c r="J204" s="45">
        <v>6099801.6600000001</v>
      </c>
      <c r="K204" s="45">
        <v>6057584.9799999995</v>
      </c>
      <c r="L204" s="45">
        <v>4911974.62</v>
      </c>
      <c r="M204" s="45">
        <v>4887691.0199999996</v>
      </c>
      <c r="O204" s="45">
        <f>SUM(B204:M204)</f>
        <v>63955896.309999987</v>
      </c>
      <c r="P204" s="45">
        <f>O204+298379620</f>
        <v>362335516.31</v>
      </c>
      <c r="Q204" s="67"/>
    </row>
    <row r="205" spans="1:17" ht="15.75" customHeight="1" x14ac:dyDescent="0.35">
      <c r="A205" s="44" t="s">
        <v>102</v>
      </c>
      <c r="B205" s="45">
        <v>602022.07000000007</v>
      </c>
      <c r="C205" s="45">
        <v>720153.1</v>
      </c>
      <c r="D205" s="45">
        <v>649930.06999999995</v>
      </c>
      <c r="E205" s="45">
        <v>614671.51</v>
      </c>
      <c r="F205" s="45">
        <v>605725.80999999994</v>
      </c>
      <c r="G205" s="45">
        <v>659066.5</v>
      </c>
      <c r="H205" s="45">
        <v>589837.94999999995</v>
      </c>
      <c r="I205" s="45">
        <v>598454.27999999991</v>
      </c>
      <c r="J205" s="45">
        <v>731976.20000000007</v>
      </c>
      <c r="K205" s="45">
        <v>726910.21</v>
      </c>
      <c r="L205" s="45">
        <v>589436.94999999995</v>
      </c>
      <c r="M205" s="45">
        <v>586522.91</v>
      </c>
      <c r="O205" s="45">
        <f>SUM(B205:M205)</f>
        <v>7674707.5600000005</v>
      </c>
      <c r="P205" s="45">
        <f>O205+38048627</f>
        <v>45723334.560000002</v>
      </c>
      <c r="Q205" s="67"/>
    </row>
    <row r="206" spans="1:17" ht="15.75" customHeight="1" x14ac:dyDescent="0.35">
      <c r="A206" s="44" t="s">
        <v>88</v>
      </c>
      <c r="B206" s="45">
        <v>100337.01000000001</v>
      </c>
      <c r="C206" s="45">
        <v>120025.52</v>
      </c>
      <c r="D206" s="45">
        <v>108321.68</v>
      </c>
      <c r="E206" s="45">
        <v>102445.24999999999</v>
      </c>
      <c r="F206" s="45">
        <v>100954.31</v>
      </c>
      <c r="G206" s="45">
        <v>109844.42</v>
      </c>
      <c r="H206" s="45">
        <v>98306.32</v>
      </c>
      <c r="I206" s="45">
        <v>99742.38</v>
      </c>
      <c r="J206" s="45">
        <v>121996.03000000001</v>
      </c>
      <c r="K206" s="45">
        <v>121151.69</v>
      </c>
      <c r="L206" s="45">
        <v>98239.5</v>
      </c>
      <c r="M206" s="45">
        <v>97753.82</v>
      </c>
      <c r="O206" s="45">
        <f>SUM(B206:M206)</f>
        <v>1279117.9300000002</v>
      </c>
      <c r="P206" s="45">
        <f>O206+5967593</f>
        <v>7246710.9299999997</v>
      </c>
      <c r="Q206" s="67"/>
    </row>
    <row r="207" spans="1:17" ht="15.75" customHeight="1" x14ac:dyDescent="0.35">
      <c r="A207" s="40" t="s">
        <v>105</v>
      </c>
      <c r="B207" s="41">
        <v>0</v>
      </c>
      <c r="C207" s="41">
        <v>0</v>
      </c>
      <c r="D207" s="41">
        <v>0</v>
      </c>
      <c r="E207" s="41">
        <v>0</v>
      </c>
      <c r="F207" s="41">
        <v>0</v>
      </c>
      <c r="G207" s="41">
        <v>0</v>
      </c>
      <c r="H207" s="41">
        <v>0</v>
      </c>
      <c r="I207" s="41">
        <v>0</v>
      </c>
      <c r="J207" s="41">
        <v>0</v>
      </c>
      <c r="K207" s="41">
        <v>0</v>
      </c>
      <c r="L207" s="41">
        <v>0</v>
      </c>
      <c r="M207" s="41">
        <v>0</v>
      </c>
      <c r="O207" s="75"/>
      <c r="P207" s="75"/>
      <c r="Q207" s="67"/>
    </row>
    <row r="208" spans="1:17" ht="15.75" customHeight="1" x14ac:dyDescent="0.35">
      <c r="A208" s="44" t="s">
        <v>97</v>
      </c>
      <c r="B208" s="45">
        <v>0</v>
      </c>
      <c r="C208" s="45">
        <v>0</v>
      </c>
      <c r="D208" s="45">
        <v>0</v>
      </c>
      <c r="E208" s="45">
        <v>0</v>
      </c>
      <c r="F208" s="45">
        <v>0</v>
      </c>
      <c r="G208" s="45">
        <v>0</v>
      </c>
      <c r="H208" s="45">
        <v>0</v>
      </c>
      <c r="I208" s="45">
        <v>0</v>
      </c>
      <c r="J208" s="45">
        <v>0</v>
      </c>
      <c r="K208" s="45">
        <v>0</v>
      </c>
      <c r="L208" s="45">
        <v>0</v>
      </c>
      <c r="M208" s="45">
        <v>0</v>
      </c>
      <c r="O208" s="45">
        <f>SUM(B208:M208)</f>
        <v>0</v>
      </c>
      <c r="P208" s="45">
        <f>O208+1872340</f>
        <v>1872340</v>
      </c>
      <c r="Q208" s="67"/>
    </row>
    <row r="209" spans="1:17" ht="15.75" customHeight="1" x14ac:dyDescent="0.35">
      <c r="A209" s="44" t="s">
        <v>102</v>
      </c>
      <c r="B209" s="45">
        <v>0</v>
      </c>
      <c r="C209" s="45">
        <v>0</v>
      </c>
      <c r="D209" s="45">
        <v>0</v>
      </c>
      <c r="E209" s="45">
        <v>0</v>
      </c>
      <c r="F209" s="45">
        <v>0</v>
      </c>
      <c r="G209" s="45">
        <v>0</v>
      </c>
      <c r="H209" s="45">
        <v>0</v>
      </c>
      <c r="I209" s="45">
        <v>0</v>
      </c>
      <c r="J209" s="45">
        <v>0</v>
      </c>
      <c r="K209" s="45">
        <v>0</v>
      </c>
      <c r="L209" s="45">
        <v>0</v>
      </c>
      <c r="M209" s="45">
        <v>0</v>
      </c>
      <c r="O209" s="45">
        <f>SUM(B209:M209)</f>
        <v>0</v>
      </c>
      <c r="P209" s="45">
        <f>O209+262128</f>
        <v>262128</v>
      </c>
      <c r="Q209" s="67"/>
    </row>
    <row r="210" spans="1:17" ht="15.75" customHeight="1" x14ac:dyDescent="0.35">
      <c r="A210" s="44" t="s">
        <v>88</v>
      </c>
      <c r="B210" s="45">
        <v>0</v>
      </c>
      <c r="C210" s="45">
        <v>0</v>
      </c>
      <c r="D210" s="45">
        <v>0</v>
      </c>
      <c r="E210" s="45">
        <v>0</v>
      </c>
      <c r="F210" s="45">
        <v>0</v>
      </c>
      <c r="G210" s="45">
        <v>0</v>
      </c>
      <c r="H210" s="45">
        <v>0</v>
      </c>
      <c r="I210" s="45">
        <v>0</v>
      </c>
      <c r="J210" s="45">
        <v>0</v>
      </c>
      <c r="K210" s="45">
        <v>0</v>
      </c>
      <c r="L210" s="45">
        <v>0</v>
      </c>
      <c r="M210" s="45">
        <v>0</v>
      </c>
      <c r="O210" s="45">
        <f>SUM(B210:M210)</f>
        <v>0</v>
      </c>
      <c r="P210" s="45">
        <f>O210+37447</f>
        <v>37447</v>
      </c>
      <c r="Q210" s="67"/>
    </row>
    <row r="211" spans="1:17" ht="15.75" customHeight="1" x14ac:dyDescent="0.35">
      <c r="A211" s="40" t="s">
        <v>106</v>
      </c>
      <c r="B211" s="41">
        <v>0</v>
      </c>
      <c r="C211" s="41">
        <v>0</v>
      </c>
      <c r="D211" s="41">
        <v>0</v>
      </c>
      <c r="E211" s="41">
        <v>0</v>
      </c>
      <c r="F211" s="41">
        <v>0</v>
      </c>
      <c r="G211" s="41">
        <v>0</v>
      </c>
      <c r="H211" s="41">
        <v>0</v>
      </c>
      <c r="I211" s="41">
        <v>0</v>
      </c>
      <c r="J211" s="41">
        <v>0</v>
      </c>
      <c r="K211" s="41">
        <v>0</v>
      </c>
      <c r="L211" s="41">
        <v>0</v>
      </c>
      <c r="M211" s="41">
        <v>0</v>
      </c>
      <c r="O211" s="75"/>
      <c r="P211" s="75"/>
      <c r="Q211" s="67"/>
    </row>
    <row r="212" spans="1:17" ht="15.75" customHeight="1" x14ac:dyDescent="0.35">
      <c r="A212" s="44" t="s">
        <v>97</v>
      </c>
      <c r="B212" s="45">
        <v>0</v>
      </c>
      <c r="C212" s="45">
        <v>0</v>
      </c>
      <c r="D212" s="45">
        <v>0</v>
      </c>
      <c r="E212" s="45">
        <v>0</v>
      </c>
      <c r="F212" s="45">
        <v>0</v>
      </c>
      <c r="G212" s="45">
        <v>0</v>
      </c>
      <c r="H212" s="45">
        <v>0</v>
      </c>
      <c r="I212" s="45">
        <v>0</v>
      </c>
      <c r="J212" s="45">
        <v>0</v>
      </c>
      <c r="K212" s="45">
        <v>0</v>
      </c>
      <c r="L212" s="45">
        <v>0</v>
      </c>
      <c r="M212" s="45">
        <v>0</v>
      </c>
      <c r="O212" s="45">
        <f>SUM(B212:M212)</f>
        <v>0</v>
      </c>
      <c r="P212" s="45">
        <f>O212</f>
        <v>0</v>
      </c>
      <c r="Q212" s="67"/>
    </row>
    <row r="213" spans="1:17" ht="15.75" customHeight="1" x14ac:dyDescent="0.35">
      <c r="A213" s="44" t="s">
        <v>102</v>
      </c>
      <c r="B213" s="45">
        <v>0</v>
      </c>
      <c r="C213" s="45">
        <v>0</v>
      </c>
      <c r="D213" s="45">
        <v>0</v>
      </c>
      <c r="E213" s="45">
        <v>0</v>
      </c>
      <c r="F213" s="45">
        <v>0</v>
      </c>
      <c r="G213" s="45">
        <v>0</v>
      </c>
      <c r="H213" s="45">
        <v>0</v>
      </c>
      <c r="I213" s="45">
        <v>0</v>
      </c>
      <c r="J213" s="45">
        <v>0</v>
      </c>
      <c r="K213" s="45">
        <v>0</v>
      </c>
      <c r="L213" s="45">
        <v>0</v>
      </c>
      <c r="M213" s="45">
        <v>0</v>
      </c>
      <c r="O213" s="45">
        <f>SUM(B213:M213)</f>
        <v>0</v>
      </c>
      <c r="P213" s="45">
        <f>O213</f>
        <v>0</v>
      </c>
      <c r="Q213" s="67"/>
    </row>
    <row r="214" spans="1:17" ht="15.75" customHeight="1" x14ac:dyDescent="0.35">
      <c r="A214" s="44" t="s">
        <v>88</v>
      </c>
      <c r="B214" s="45">
        <v>0</v>
      </c>
      <c r="C214" s="45">
        <v>0</v>
      </c>
      <c r="D214" s="45">
        <v>0</v>
      </c>
      <c r="E214" s="45">
        <v>0</v>
      </c>
      <c r="F214" s="45">
        <v>0</v>
      </c>
      <c r="G214" s="45">
        <v>0</v>
      </c>
      <c r="H214" s="45">
        <v>0</v>
      </c>
      <c r="I214" s="45">
        <v>0</v>
      </c>
      <c r="J214" s="45">
        <v>0</v>
      </c>
      <c r="K214" s="45">
        <v>0</v>
      </c>
      <c r="L214" s="45">
        <v>0</v>
      </c>
      <c r="M214" s="45">
        <v>0</v>
      </c>
      <c r="O214" s="45">
        <f>SUM(B214:M214)</f>
        <v>0</v>
      </c>
      <c r="P214" s="45">
        <f>O214</f>
        <v>0</v>
      </c>
      <c r="Q214" s="67"/>
    </row>
    <row r="215" spans="1:17" ht="15.75" customHeight="1" x14ac:dyDescent="0.35">
      <c r="A215" s="44"/>
      <c r="B215" s="45"/>
      <c r="C215" s="45"/>
      <c r="D215" s="45"/>
      <c r="E215" s="45"/>
      <c r="F215" s="45"/>
      <c r="G215" s="45"/>
      <c r="I215" s="45"/>
      <c r="J215" s="45"/>
      <c r="K215" s="45"/>
      <c r="L215" s="45"/>
      <c r="M215" s="45"/>
      <c r="O215" s="45"/>
      <c r="P215" s="45"/>
      <c r="Q215" s="67"/>
    </row>
    <row r="216" spans="1:17" ht="15.75" customHeight="1" x14ac:dyDescent="0.35">
      <c r="A216" s="53" t="s">
        <v>99</v>
      </c>
      <c r="B216" s="41"/>
      <c r="C216" s="41"/>
      <c r="D216" s="41"/>
      <c r="E216" s="41"/>
      <c r="F216" s="41"/>
      <c r="G216" s="41"/>
      <c r="I216" s="41"/>
      <c r="J216" s="41"/>
      <c r="K216" s="41"/>
      <c r="L216" s="41"/>
      <c r="M216" s="41"/>
      <c r="O216" s="75"/>
      <c r="P216" s="75"/>
      <c r="Q216" s="67"/>
    </row>
    <row r="217" spans="1:17" ht="15.75" customHeight="1" x14ac:dyDescent="0.35">
      <c r="A217" s="40" t="s">
        <v>87</v>
      </c>
      <c r="B217" s="41">
        <v>84</v>
      </c>
      <c r="C217" s="41">
        <v>84</v>
      </c>
      <c r="D217" s="41">
        <v>84</v>
      </c>
      <c r="E217" s="41">
        <v>84.8</v>
      </c>
      <c r="F217" s="41">
        <v>84</v>
      </c>
      <c r="G217" s="41">
        <v>84.2</v>
      </c>
      <c r="H217" s="41">
        <v>109.8</v>
      </c>
      <c r="I217" s="41">
        <v>119</v>
      </c>
      <c r="J217" s="41">
        <v>124.5</v>
      </c>
      <c r="K217" s="41">
        <v>132</v>
      </c>
      <c r="L217" s="41">
        <v>132.33333333333334</v>
      </c>
      <c r="M217" s="41">
        <v>132</v>
      </c>
      <c r="O217" s="75"/>
      <c r="P217" s="75"/>
      <c r="Q217" s="67"/>
    </row>
    <row r="218" spans="1:17" ht="15.75" customHeight="1" x14ac:dyDescent="0.35">
      <c r="A218" s="44" t="s">
        <v>97</v>
      </c>
      <c r="B218" s="45">
        <v>6945412.75</v>
      </c>
      <c r="C218" s="45">
        <v>6978429.25</v>
      </c>
      <c r="D218" s="45">
        <v>7867426</v>
      </c>
      <c r="E218" s="45">
        <v>7359511.75</v>
      </c>
      <c r="F218" s="45">
        <v>8141087.75</v>
      </c>
      <c r="G218" s="45">
        <v>8644749.25</v>
      </c>
      <c r="H218" s="45">
        <v>10636608</v>
      </c>
      <c r="I218" s="45">
        <v>9240443.25</v>
      </c>
      <c r="J218" s="45">
        <v>9990170.75</v>
      </c>
      <c r="K218" s="45">
        <v>9752361</v>
      </c>
      <c r="L218" s="45">
        <v>9054783</v>
      </c>
      <c r="M218" s="45">
        <v>10145531</v>
      </c>
      <c r="O218" s="45">
        <f>SUM(B218:M218)</f>
        <v>104756513.75</v>
      </c>
      <c r="P218" s="45">
        <f>O218+399636401</f>
        <v>504392914.75</v>
      </c>
      <c r="Q218" s="67"/>
    </row>
    <row r="219" spans="1:17" ht="15.75" customHeight="1" x14ac:dyDescent="0.35">
      <c r="A219" s="44" t="s">
        <v>102</v>
      </c>
      <c r="B219" s="45">
        <v>860869.85000000009</v>
      </c>
      <c r="C219" s="45">
        <v>856754.11</v>
      </c>
      <c r="D219" s="45">
        <v>961309.74000000011</v>
      </c>
      <c r="E219" s="45">
        <v>907767.95000000007</v>
      </c>
      <c r="F219" s="45">
        <v>997143.86999999988</v>
      </c>
      <c r="G219" s="45">
        <v>1061712.5500000003</v>
      </c>
      <c r="H219" s="45">
        <v>1294976.6800000002</v>
      </c>
      <c r="I219" s="45">
        <v>1139467.4699999997</v>
      </c>
      <c r="J219" s="45">
        <v>1226426.1099999999</v>
      </c>
      <c r="K219" s="45">
        <v>1200157.4200000002</v>
      </c>
      <c r="L219" s="45">
        <v>1125543.4000000001</v>
      </c>
      <c r="M219" s="45">
        <v>1256954.72</v>
      </c>
      <c r="O219" s="45">
        <f>SUM(B219:M219)</f>
        <v>12889083.870000001</v>
      </c>
      <c r="P219" s="45">
        <f>O219+52106106</f>
        <v>64995189.870000005</v>
      </c>
      <c r="Q219" s="67"/>
    </row>
    <row r="220" spans="1:17" ht="15.75" customHeight="1" x14ac:dyDescent="0.35">
      <c r="A220" s="44" t="s">
        <v>88</v>
      </c>
      <c r="B220" s="45">
        <v>138908.26999999999</v>
      </c>
      <c r="C220" s="45">
        <v>139568.59999999998</v>
      </c>
      <c r="D220" s="45">
        <v>157348.53</v>
      </c>
      <c r="E220" s="45">
        <v>147190.24</v>
      </c>
      <c r="F220" s="45">
        <v>162821.75999999998</v>
      </c>
      <c r="G220" s="45">
        <v>172895</v>
      </c>
      <c r="H220" s="45">
        <v>212732.18</v>
      </c>
      <c r="I220" s="45">
        <v>184808.87000000002</v>
      </c>
      <c r="J220" s="45">
        <v>199803.42</v>
      </c>
      <c r="K220" s="45">
        <v>195047.24</v>
      </c>
      <c r="L220" s="45">
        <v>181095.67</v>
      </c>
      <c r="M220" s="45">
        <v>202910.62999999998</v>
      </c>
      <c r="O220" s="45">
        <f>SUM(B220:M220)</f>
        <v>2095130.41</v>
      </c>
      <c r="P220" s="45">
        <f>O220+7992729</f>
        <v>10087859.41</v>
      </c>
      <c r="Q220" s="67"/>
    </row>
    <row r="221" spans="1:17" ht="15.75" customHeight="1" x14ac:dyDescent="0.35">
      <c r="A221" s="40" t="s">
        <v>103</v>
      </c>
      <c r="B221" s="41">
        <v>24</v>
      </c>
      <c r="C221" s="41">
        <v>24</v>
      </c>
      <c r="D221" s="41">
        <v>24</v>
      </c>
      <c r="E221" s="41">
        <v>24</v>
      </c>
      <c r="F221" s="41">
        <v>24</v>
      </c>
      <c r="G221" s="41">
        <v>24</v>
      </c>
      <c r="H221" s="41">
        <v>24</v>
      </c>
      <c r="I221" s="41">
        <v>25.6</v>
      </c>
      <c r="J221" s="41">
        <v>28</v>
      </c>
      <c r="K221" s="41">
        <v>28</v>
      </c>
      <c r="L221" s="41">
        <v>28</v>
      </c>
      <c r="M221" s="41">
        <v>28</v>
      </c>
      <c r="O221" s="75"/>
      <c r="P221" s="75"/>
      <c r="Q221" s="67"/>
    </row>
    <row r="222" spans="1:17" ht="15.75" customHeight="1" x14ac:dyDescent="0.35">
      <c r="A222" s="44" t="s">
        <v>97</v>
      </c>
      <c r="B222" s="45">
        <v>491656</v>
      </c>
      <c r="C222" s="45">
        <v>526976</v>
      </c>
      <c r="D222" s="45">
        <v>412695</v>
      </c>
      <c r="E222" s="45">
        <v>516395</v>
      </c>
      <c r="F222" s="45">
        <v>515981</v>
      </c>
      <c r="G222" s="45">
        <v>526663</v>
      </c>
      <c r="H222" s="45">
        <v>571163</v>
      </c>
      <c r="I222" s="45">
        <v>620378</v>
      </c>
      <c r="J222" s="45">
        <v>745190</v>
      </c>
      <c r="K222" s="45">
        <v>737709</v>
      </c>
      <c r="L222" s="45">
        <v>669666</v>
      </c>
      <c r="M222" s="45">
        <v>576712</v>
      </c>
      <c r="O222" s="45">
        <f>SUM(B222:M222)</f>
        <v>6911184</v>
      </c>
      <c r="P222" s="45">
        <f>O222+4150606</f>
        <v>11061790</v>
      </c>
      <c r="Q222" s="67"/>
    </row>
    <row r="223" spans="1:17" ht="15.75" customHeight="1" x14ac:dyDescent="0.35">
      <c r="A223" s="44" t="s">
        <v>102</v>
      </c>
      <c r="B223" s="45">
        <v>58998.720000000001</v>
      </c>
      <c r="C223" s="45">
        <v>63237.119999999995</v>
      </c>
      <c r="D223" s="45">
        <v>49523.399999999994</v>
      </c>
      <c r="E223" s="45">
        <v>61967.400000000009</v>
      </c>
      <c r="F223" s="45">
        <v>61917.72</v>
      </c>
      <c r="G223" s="45">
        <v>63199.56</v>
      </c>
      <c r="H223" s="45">
        <v>68539.56</v>
      </c>
      <c r="I223" s="45">
        <v>74445.36</v>
      </c>
      <c r="J223" s="45">
        <v>89422.799999999988</v>
      </c>
      <c r="K223" s="45">
        <v>88525.08</v>
      </c>
      <c r="L223" s="45">
        <v>80359.920000000013</v>
      </c>
      <c r="M223" s="45">
        <v>69205.440000000002</v>
      </c>
      <c r="O223" s="45">
        <f>SUM(B223:M223)</f>
        <v>829342.07999999984</v>
      </c>
      <c r="P223" s="45">
        <f>O223+498073</f>
        <v>1327415.0799999998</v>
      </c>
      <c r="Q223" s="67"/>
    </row>
    <row r="224" spans="1:17" ht="15.75" customHeight="1" x14ac:dyDescent="0.35">
      <c r="A224" s="44" t="s">
        <v>88</v>
      </c>
      <c r="B224" s="45">
        <v>9833.119999999999</v>
      </c>
      <c r="C224" s="45">
        <v>10539.52</v>
      </c>
      <c r="D224" s="45">
        <v>8253.9</v>
      </c>
      <c r="E224" s="45">
        <v>10327.9</v>
      </c>
      <c r="F224" s="45">
        <v>10319.620000000001</v>
      </c>
      <c r="G224" s="45">
        <v>10533.26</v>
      </c>
      <c r="H224" s="45">
        <v>11423.26</v>
      </c>
      <c r="I224" s="45">
        <v>12407.56</v>
      </c>
      <c r="J224" s="45">
        <v>14903.799999999997</v>
      </c>
      <c r="K224" s="45">
        <v>14754.179999999998</v>
      </c>
      <c r="L224" s="45">
        <v>13393.32</v>
      </c>
      <c r="M224" s="45">
        <v>11534.240000000002</v>
      </c>
      <c r="O224" s="45">
        <f>SUM(B224:M224)</f>
        <v>138223.67999999999</v>
      </c>
      <c r="P224" s="45">
        <f>O224+83012</f>
        <v>221235.68</v>
      </c>
      <c r="Q224" s="67"/>
    </row>
    <row r="225" spans="1:17" ht="15.75" customHeight="1" x14ac:dyDescent="0.35">
      <c r="A225" s="40" t="s">
        <v>104</v>
      </c>
      <c r="B225" s="41">
        <v>59</v>
      </c>
      <c r="C225" s="41">
        <v>59</v>
      </c>
      <c r="D225" s="41">
        <v>59</v>
      </c>
      <c r="E225" s="41">
        <v>59</v>
      </c>
      <c r="F225" s="41">
        <v>59</v>
      </c>
      <c r="G225" s="41">
        <v>59.2</v>
      </c>
      <c r="H225" s="41">
        <v>84.8</v>
      </c>
      <c r="I225" s="41">
        <v>91.8</v>
      </c>
      <c r="J225" s="41">
        <v>95.5</v>
      </c>
      <c r="K225" s="41">
        <v>103</v>
      </c>
      <c r="L225" s="41">
        <v>103.33333333333333</v>
      </c>
      <c r="M225" s="41">
        <v>103</v>
      </c>
      <c r="O225" s="75"/>
      <c r="P225" s="75"/>
      <c r="Q225" s="67"/>
    </row>
    <row r="226" spans="1:17" ht="15.75" customHeight="1" x14ac:dyDescent="0.35">
      <c r="A226" s="44" t="s">
        <v>97</v>
      </c>
      <c r="B226" s="45">
        <v>6373108.75</v>
      </c>
      <c r="C226" s="45">
        <v>6394563.25</v>
      </c>
      <c r="D226" s="45">
        <v>7404088</v>
      </c>
      <c r="E226" s="45">
        <v>6770685.75</v>
      </c>
      <c r="F226" s="45">
        <v>7565655.75</v>
      </c>
      <c r="G226" s="45">
        <v>8046490.25</v>
      </c>
      <c r="H226" s="45">
        <v>10010787</v>
      </c>
      <c r="I226" s="45">
        <v>8530023.25</v>
      </c>
      <c r="J226" s="45">
        <v>9163787.75</v>
      </c>
      <c r="K226" s="45">
        <v>8926787</v>
      </c>
      <c r="L226" s="45">
        <v>8270501</v>
      </c>
      <c r="M226" s="45">
        <v>9452669</v>
      </c>
      <c r="O226" s="45">
        <f>SUM(B226:M226)</f>
        <v>96909146.75</v>
      </c>
      <c r="P226" s="45">
        <f>O226+392210644</f>
        <v>489119790.75</v>
      </c>
      <c r="Q226" s="67"/>
    </row>
    <row r="227" spans="1:17" ht="15.75" customHeight="1" x14ac:dyDescent="0.35">
      <c r="A227" s="44" t="s">
        <v>102</v>
      </c>
      <c r="B227" s="45">
        <v>764773.05</v>
      </c>
      <c r="C227" s="45">
        <v>767347.59</v>
      </c>
      <c r="D227" s="45">
        <v>888490.56000000017</v>
      </c>
      <c r="E227" s="45">
        <v>812482.28999999992</v>
      </c>
      <c r="F227" s="45">
        <v>907878.69000000006</v>
      </c>
      <c r="G227" s="45">
        <v>965578.83</v>
      </c>
      <c r="H227" s="45">
        <v>1201294.44</v>
      </c>
      <c r="I227" s="45">
        <v>1023602.7899999999</v>
      </c>
      <c r="J227" s="45">
        <v>1099654.53</v>
      </c>
      <c r="K227" s="45">
        <v>1071214.44</v>
      </c>
      <c r="L227" s="45">
        <v>992460.12</v>
      </c>
      <c r="M227" s="45">
        <v>1134320.2800000003</v>
      </c>
      <c r="O227" s="45">
        <f>SUM(B227:M227)</f>
        <v>11629097.609999999</v>
      </c>
      <c r="P227" s="45">
        <f>O227+50101464</f>
        <v>61730561.609999999</v>
      </c>
      <c r="Q227" s="67"/>
    </row>
    <row r="228" spans="1:17" ht="15.75" customHeight="1" x14ac:dyDescent="0.35">
      <c r="A228" s="44" t="s">
        <v>88</v>
      </c>
      <c r="B228" s="45">
        <v>127462.19</v>
      </c>
      <c r="C228" s="45">
        <v>127891.28000000001</v>
      </c>
      <c r="D228" s="45">
        <v>148081.77000000002</v>
      </c>
      <c r="E228" s="45">
        <v>135413.71999999997</v>
      </c>
      <c r="F228" s="45">
        <v>151313.12000000002</v>
      </c>
      <c r="G228" s="45">
        <v>160929.82</v>
      </c>
      <c r="H228" s="45">
        <v>200215.76</v>
      </c>
      <c r="I228" s="45">
        <v>170600.47</v>
      </c>
      <c r="J228" s="45">
        <v>183275.76</v>
      </c>
      <c r="K228" s="45">
        <v>178535.75999999998</v>
      </c>
      <c r="L228" s="45">
        <v>165410.03</v>
      </c>
      <c r="M228" s="45">
        <v>189053.38999999998</v>
      </c>
      <c r="O228" s="45">
        <f>SUM(B228:M228)</f>
        <v>1938183.0699999998</v>
      </c>
      <c r="P228" s="45">
        <f>O228+7844213</f>
        <v>9782396.0700000003</v>
      </c>
      <c r="Q228" s="67"/>
    </row>
    <row r="229" spans="1:17" ht="15.75" customHeight="1" x14ac:dyDescent="0.35">
      <c r="A229" s="40" t="s">
        <v>105</v>
      </c>
      <c r="B229" s="41">
        <v>0</v>
      </c>
      <c r="C229" s="41">
        <v>0</v>
      </c>
      <c r="D229" s="41">
        <v>0</v>
      </c>
      <c r="E229" s="41">
        <v>0</v>
      </c>
      <c r="F229" s="41">
        <v>0</v>
      </c>
      <c r="G229" s="41">
        <v>0</v>
      </c>
      <c r="H229" s="41">
        <v>0</v>
      </c>
      <c r="I229" s="41">
        <v>0</v>
      </c>
      <c r="J229" s="41">
        <v>0</v>
      </c>
      <c r="K229" s="41">
        <v>0</v>
      </c>
      <c r="L229" s="41">
        <v>0</v>
      </c>
      <c r="M229" s="41">
        <v>0</v>
      </c>
      <c r="O229" s="75"/>
      <c r="P229" s="75"/>
      <c r="Q229" s="67"/>
    </row>
    <row r="230" spans="1:17" ht="15.75" customHeight="1" x14ac:dyDescent="0.35">
      <c r="A230" s="44" t="s">
        <v>97</v>
      </c>
      <c r="B230" s="45">
        <v>0</v>
      </c>
      <c r="C230" s="45">
        <v>0</v>
      </c>
      <c r="D230" s="45">
        <v>0</v>
      </c>
      <c r="E230" s="45">
        <v>0</v>
      </c>
      <c r="F230" s="45">
        <v>0</v>
      </c>
      <c r="G230" s="45">
        <v>0</v>
      </c>
      <c r="H230" s="45">
        <v>0</v>
      </c>
      <c r="I230" s="45">
        <v>0</v>
      </c>
      <c r="J230" s="45">
        <v>0</v>
      </c>
      <c r="K230" s="45">
        <v>0</v>
      </c>
      <c r="L230" s="45">
        <v>0</v>
      </c>
      <c r="M230" s="45">
        <v>0</v>
      </c>
      <c r="O230" s="45">
        <f>SUM(B230:M230)</f>
        <v>0</v>
      </c>
      <c r="P230" s="45">
        <f>O230</f>
        <v>0</v>
      </c>
      <c r="Q230" s="67"/>
    </row>
    <row r="231" spans="1:17" ht="15.75" customHeight="1" x14ac:dyDescent="0.35">
      <c r="A231" s="44" t="s">
        <v>102</v>
      </c>
      <c r="B231" s="45">
        <v>0</v>
      </c>
      <c r="C231" s="45">
        <v>0</v>
      </c>
      <c r="D231" s="45">
        <v>0</v>
      </c>
      <c r="E231" s="45">
        <v>0</v>
      </c>
      <c r="F231" s="45">
        <v>0</v>
      </c>
      <c r="G231" s="45">
        <v>0</v>
      </c>
      <c r="H231" s="45">
        <v>0</v>
      </c>
      <c r="I231" s="45">
        <v>0</v>
      </c>
      <c r="J231" s="45">
        <v>0</v>
      </c>
      <c r="K231" s="45">
        <v>0</v>
      </c>
      <c r="L231" s="45">
        <v>0</v>
      </c>
      <c r="M231" s="45">
        <v>0</v>
      </c>
      <c r="O231" s="45">
        <f>SUM(B231:M231)</f>
        <v>0</v>
      </c>
      <c r="P231" s="45">
        <f>O231</f>
        <v>0</v>
      </c>
      <c r="Q231" s="67"/>
    </row>
    <row r="232" spans="1:17" ht="15.75" customHeight="1" x14ac:dyDescent="0.35">
      <c r="A232" s="44" t="s">
        <v>88</v>
      </c>
      <c r="B232" s="45">
        <v>0</v>
      </c>
      <c r="C232" s="45">
        <v>0</v>
      </c>
      <c r="D232" s="45">
        <v>0</v>
      </c>
      <c r="E232" s="45">
        <v>0</v>
      </c>
      <c r="F232" s="45">
        <v>0</v>
      </c>
      <c r="G232" s="45">
        <v>0</v>
      </c>
      <c r="H232" s="45">
        <v>0</v>
      </c>
      <c r="I232" s="45">
        <v>0</v>
      </c>
      <c r="J232" s="45">
        <v>0</v>
      </c>
      <c r="K232" s="45">
        <v>0</v>
      </c>
      <c r="L232" s="45">
        <v>0</v>
      </c>
      <c r="M232" s="45">
        <v>0</v>
      </c>
      <c r="O232" s="45">
        <f>SUM(B232:M232)</f>
        <v>0</v>
      </c>
      <c r="P232" s="45">
        <f>O232</f>
        <v>0</v>
      </c>
      <c r="Q232" s="67"/>
    </row>
    <row r="233" spans="1:17" ht="15.75" customHeight="1" x14ac:dyDescent="0.35">
      <c r="A233" s="40" t="s">
        <v>106</v>
      </c>
      <c r="B233" s="41">
        <v>1</v>
      </c>
      <c r="C233" s="41">
        <v>1</v>
      </c>
      <c r="D233" s="41">
        <v>1</v>
      </c>
      <c r="E233" s="41">
        <v>1.8</v>
      </c>
      <c r="F233" s="41">
        <v>1</v>
      </c>
      <c r="G233" s="41">
        <v>1</v>
      </c>
      <c r="H233" s="41">
        <v>1</v>
      </c>
      <c r="I233" s="41">
        <v>1</v>
      </c>
      <c r="J233" s="41">
        <v>1</v>
      </c>
      <c r="K233" s="41">
        <v>1</v>
      </c>
      <c r="L233" s="41">
        <v>1</v>
      </c>
      <c r="M233" s="41">
        <v>1</v>
      </c>
      <c r="O233" s="75"/>
      <c r="P233" s="75"/>
      <c r="Q233" s="67"/>
    </row>
    <row r="234" spans="1:17" ht="15.75" customHeight="1" x14ac:dyDescent="0.35">
      <c r="A234" s="44" t="s">
        <v>97</v>
      </c>
      <c r="B234" s="45">
        <v>80648</v>
      </c>
      <c r="C234" s="45">
        <v>56890</v>
      </c>
      <c r="D234" s="45">
        <v>50643</v>
      </c>
      <c r="E234" s="45">
        <v>72431</v>
      </c>
      <c r="F234" s="45">
        <v>59451</v>
      </c>
      <c r="G234" s="45">
        <v>71596</v>
      </c>
      <c r="H234" s="45">
        <v>54658</v>
      </c>
      <c r="I234" s="45">
        <v>90042</v>
      </c>
      <c r="J234" s="45">
        <v>81193</v>
      </c>
      <c r="K234" s="45">
        <v>87865</v>
      </c>
      <c r="L234" s="45">
        <v>114616</v>
      </c>
      <c r="M234" s="45">
        <v>116150</v>
      </c>
      <c r="O234" s="45">
        <f>SUM(B234:M234)</f>
        <v>936183</v>
      </c>
      <c r="P234" s="45">
        <f>O234+3275151</f>
        <v>4211334</v>
      </c>
      <c r="Q234" s="67"/>
    </row>
    <row r="235" spans="1:17" ht="15.75" customHeight="1" x14ac:dyDescent="0.35">
      <c r="A235" s="44" t="s">
        <v>102</v>
      </c>
      <c r="B235" s="45">
        <v>37098.080000000002</v>
      </c>
      <c r="C235" s="45">
        <v>26169.399999999998</v>
      </c>
      <c r="D235" s="45">
        <v>23295.78</v>
      </c>
      <c r="E235" s="45">
        <v>33318.26</v>
      </c>
      <c r="F235" s="45">
        <v>27347.46</v>
      </c>
      <c r="G235" s="45">
        <v>32934.160000000003</v>
      </c>
      <c r="H235" s="45">
        <v>25142.68</v>
      </c>
      <c r="I235" s="45">
        <v>41419.320000000007</v>
      </c>
      <c r="J235" s="45">
        <v>37348.780000000006</v>
      </c>
      <c r="K235" s="45">
        <v>40417.9</v>
      </c>
      <c r="L235" s="45">
        <v>52723.360000000001</v>
      </c>
      <c r="M235" s="45">
        <v>53429</v>
      </c>
      <c r="O235" s="45">
        <f>SUM(B235:M235)</f>
        <v>430644.18</v>
      </c>
      <c r="P235" s="45">
        <f>O235+1506570</f>
        <v>1937214.18</v>
      </c>
      <c r="Q235" s="67"/>
    </row>
    <row r="236" spans="1:17" ht="15.75" customHeight="1" x14ac:dyDescent="0.35">
      <c r="A236" s="44" t="s">
        <v>88</v>
      </c>
      <c r="B236" s="45">
        <v>1612.96</v>
      </c>
      <c r="C236" s="45">
        <v>1137.7999999999997</v>
      </c>
      <c r="D236" s="45">
        <v>1012.86</v>
      </c>
      <c r="E236" s="45">
        <v>1448.62</v>
      </c>
      <c r="F236" s="45">
        <v>1189.02</v>
      </c>
      <c r="G236" s="45">
        <v>1431.92</v>
      </c>
      <c r="H236" s="45">
        <v>1093.1599999999999</v>
      </c>
      <c r="I236" s="45">
        <v>1800.8400000000001</v>
      </c>
      <c r="J236" s="45">
        <v>1623.8600000000001</v>
      </c>
      <c r="K236" s="45">
        <v>1757.3000000000002</v>
      </c>
      <c r="L236" s="45">
        <v>2292.3200000000002</v>
      </c>
      <c r="M236" s="45">
        <v>2322.9999999999995</v>
      </c>
      <c r="O236" s="45">
        <f>SUM(B236:M236)</f>
        <v>18723.66</v>
      </c>
      <c r="P236" s="45">
        <f>O236+65503</f>
        <v>84226.66</v>
      </c>
      <c r="Q236" s="67"/>
    </row>
    <row r="237" spans="1:17" ht="15.75" customHeight="1" x14ac:dyDescent="0.35">
      <c r="B237" s="51"/>
      <c r="C237" s="45"/>
      <c r="D237" s="45"/>
      <c r="E237" s="51"/>
      <c r="F237" s="51"/>
      <c r="G237" s="51"/>
      <c r="I237" s="51"/>
      <c r="J237" s="51"/>
      <c r="K237" s="45"/>
      <c r="L237" s="45"/>
      <c r="M237" s="45"/>
      <c r="O237" s="51"/>
      <c r="P237" s="51"/>
      <c r="Q237" s="67"/>
    </row>
    <row r="238" spans="1:17" ht="15.75" customHeight="1" x14ac:dyDescent="0.35">
      <c r="A238" s="53" t="s">
        <v>107</v>
      </c>
      <c r="B238" s="51"/>
      <c r="C238" s="45"/>
      <c r="D238" s="45"/>
      <c r="E238" s="51"/>
      <c r="F238" s="51"/>
      <c r="G238" s="51"/>
      <c r="I238" s="51"/>
      <c r="J238" s="51"/>
      <c r="K238" s="45"/>
      <c r="L238" s="45"/>
      <c r="M238" s="45"/>
      <c r="O238" s="51"/>
      <c r="P238" s="51"/>
      <c r="Q238" s="67"/>
    </row>
    <row r="239" spans="1:17" ht="15.75" customHeight="1" x14ac:dyDescent="0.35">
      <c r="A239" s="40" t="s">
        <v>87</v>
      </c>
      <c r="B239" s="41">
        <v>50</v>
      </c>
      <c r="C239" s="41">
        <v>50</v>
      </c>
      <c r="D239" s="41">
        <v>50</v>
      </c>
      <c r="E239" s="41">
        <v>50</v>
      </c>
      <c r="F239" s="41">
        <v>50</v>
      </c>
      <c r="G239" s="41">
        <v>50</v>
      </c>
      <c r="H239" s="41">
        <v>50</v>
      </c>
      <c r="I239" s="41">
        <v>50</v>
      </c>
      <c r="J239" s="41">
        <v>50</v>
      </c>
      <c r="K239" s="41">
        <v>50</v>
      </c>
      <c r="L239" s="41">
        <v>50</v>
      </c>
      <c r="M239" s="41">
        <v>50</v>
      </c>
      <c r="O239" s="75"/>
      <c r="P239" s="75"/>
      <c r="Q239" s="67"/>
    </row>
    <row r="240" spans="1:17" ht="15.75" customHeight="1" x14ac:dyDescent="0.35">
      <c r="A240" s="44" t="s">
        <v>97</v>
      </c>
      <c r="B240" s="45">
        <v>3153947.38</v>
      </c>
      <c r="C240" s="45">
        <v>3040195.01</v>
      </c>
      <c r="D240" s="45">
        <v>3048002.52</v>
      </c>
      <c r="E240" s="45">
        <v>3019797.34</v>
      </c>
      <c r="F240" s="45">
        <v>2822614.14</v>
      </c>
      <c r="G240" s="45">
        <v>2338306.5099999998</v>
      </c>
      <c r="H240" s="45">
        <v>3187708.23</v>
      </c>
      <c r="I240" s="45">
        <v>3237771.2</v>
      </c>
      <c r="J240" s="45">
        <v>3196698.01</v>
      </c>
      <c r="K240" s="45">
        <v>2851057.1</v>
      </c>
      <c r="L240" s="45">
        <v>3986285.6000000006</v>
      </c>
      <c r="M240" s="45">
        <v>2973907.91</v>
      </c>
      <c r="O240" s="45">
        <f>SUM(B240:M240)</f>
        <v>36856290.950000003</v>
      </c>
      <c r="P240" s="45">
        <f>O240+105071366</f>
        <v>141927656.94999999</v>
      </c>
      <c r="Q240" s="67"/>
    </row>
    <row r="241" spans="1:17" ht="15.75" customHeight="1" x14ac:dyDescent="0.35">
      <c r="A241" s="44" t="s">
        <v>102</v>
      </c>
      <c r="B241" s="45">
        <v>378473.67999999993</v>
      </c>
      <c r="C241" s="45">
        <v>364823.39999999997</v>
      </c>
      <c r="D241" s="45">
        <v>365760.30000000005</v>
      </c>
      <c r="E241" s="45">
        <v>362375.67999999999</v>
      </c>
      <c r="F241" s="45">
        <v>338713.69999999995</v>
      </c>
      <c r="G241" s="45">
        <v>280596.78000000003</v>
      </c>
      <c r="H241" s="45">
        <v>382524.99</v>
      </c>
      <c r="I241" s="45">
        <v>388532.54</v>
      </c>
      <c r="J241" s="45">
        <v>383603.76000000007</v>
      </c>
      <c r="K241" s="45">
        <v>342126.85000000003</v>
      </c>
      <c r="L241" s="45">
        <v>478354.26</v>
      </c>
      <c r="M241" s="45">
        <v>356868.94999999995</v>
      </c>
      <c r="O241" s="45">
        <f>SUM(B241:M241)</f>
        <v>4422754.8900000006</v>
      </c>
      <c r="P241" s="45">
        <f>O241+13891053</f>
        <v>18313807.890000001</v>
      </c>
      <c r="Q241" s="67"/>
    </row>
    <row r="242" spans="1:17" ht="15.75" customHeight="1" x14ac:dyDescent="0.35">
      <c r="A242" s="44" t="s">
        <v>88</v>
      </c>
      <c r="B242" s="45">
        <v>63078.96</v>
      </c>
      <c r="C242" s="45">
        <v>60803.9</v>
      </c>
      <c r="D242" s="45">
        <v>60960.069999999992</v>
      </c>
      <c r="E242" s="45">
        <v>60395.95</v>
      </c>
      <c r="F242" s="45">
        <v>56452.29</v>
      </c>
      <c r="G242" s="45">
        <v>46766.130000000005</v>
      </c>
      <c r="H242" s="45">
        <v>63754.17</v>
      </c>
      <c r="I242" s="45">
        <v>64755.43</v>
      </c>
      <c r="J242" s="45">
        <v>63933.96</v>
      </c>
      <c r="K242" s="45">
        <v>57021.15</v>
      </c>
      <c r="L242" s="45">
        <v>79725.709999999992</v>
      </c>
      <c r="M242" s="45">
        <v>59478.159999999996</v>
      </c>
      <c r="O242" s="45">
        <f>SUM(B242:M242)</f>
        <v>737125.88</v>
      </c>
      <c r="P242" s="45">
        <f>O242+2101428</f>
        <v>2838553.88</v>
      </c>
      <c r="Q242" s="67"/>
    </row>
    <row r="243" spans="1:17" ht="15.75" customHeight="1" x14ac:dyDescent="0.35">
      <c r="A243" s="40" t="s">
        <v>103</v>
      </c>
      <c r="B243" s="41">
        <v>0</v>
      </c>
      <c r="C243" s="41">
        <v>0</v>
      </c>
      <c r="D243" s="41">
        <v>0</v>
      </c>
      <c r="E243" s="41">
        <v>0</v>
      </c>
      <c r="F243" s="41">
        <v>0</v>
      </c>
      <c r="G243" s="41">
        <v>0</v>
      </c>
      <c r="H243" s="41">
        <v>0</v>
      </c>
      <c r="I243" s="41">
        <v>0</v>
      </c>
      <c r="J243" s="41">
        <v>0</v>
      </c>
      <c r="K243" s="41">
        <v>0</v>
      </c>
      <c r="L243" s="41">
        <v>0</v>
      </c>
      <c r="M243" s="41">
        <v>0</v>
      </c>
      <c r="O243" s="75"/>
      <c r="P243" s="75"/>
      <c r="Q243" s="67"/>
    </row>
    <row r="244" spans="1:17" ht="15.75" customHeight="1" x14ac:dyDescent="0.35">
      <c r="A244" s="44" t="s">
        <v>97</v>
      </c>
      <c r="B244" s="45">
        <v>0</v>
      </c>
      <c r="C244" s="45">
        <v>0</v>
      </c>
      <c r="D244" s="45">
        <v>0</v>
      </c>
      <c r="E244" s="45">
        <v>0</v>
      </c>
      <c r="F244" s="45">
        <v>0</v>
      </c>
      <c r="G244" s="45">
        <v>0</v>
      </c>
      <c r="H244" s="45">
        <v>0</v>
      </c>
      <c r="I244" s="45">
        <v>0</v>
      </c>
      <c r="J244" s="45">
        <v>0</v>
      </c>
      <c r="K244" s="45">
        <v>0</v>
      </c>
      <c r="L244" s="45">
        <v>0</v>
      </c>
      <c r="M244" s="45">
        <v>0</v>
      </c>
      <c r="O244" s="45">
        <f>SUM(B244:M244)</f>
        <v>0</v>
      </c>
      <c r="P244" s="45">
        <f>O244</f>
        <v>0</v>
      </c>
      <c r="Q244" s="67"/>
    </row>
    <row r="245" spans="1:17" ht="15.75" customHeight="1" x14ac:dyDescent="0.35">
      <c r="A245" s="44" t="s">
        <v>102</v>
      </c>
      <c r="B245" s="45">
        <v>0</v>
      </c>
      <c r="C245" s="45">
        <v>0</v>
      </c>
      <c r="D245" s="45">
        <v>0</v>
      </c>
      <c r="E245" s="45">
        <v>0</v>
      </c>
      <c r="F245" s="45">
        <v>0</v>
      </c>
      <c r="G245" s="45">
        <v>0</v>
      </c>
      <c r="H245" s="45">
        <v>0</v>
      </c>
      <c r="I245" s="45">
        <v>0</v>
      </c>
      <c r="J245" s="45">
        <v>0</v>
      </c>
      <c r="K245" s="45">
        <v>0</v>
      </c>
      <c r="L245" s="45">
        <v>0</v>
      </c>
      <c r="M245" s="45">
        <v>0</v>
      </c>
      <c r="O245" s="45">
        <f>SUM(B245:M245)</f>
        <v>0</v>
      </c>
      <c r="P245" s="45">
        <f>O245</f>
        <v>0</v>
      </c>
      <c r="Q245" s="67"/>
    </row>
    <row r="246" spans="1:17" ht="15.75" customHeight="1" x14ac:dyDescent="0.35">
      <c r="A246" s="44" t="s">
        <v>88</v>
      </c>
      <c r="B246" s="45">
        <v>0</v>
      </c>
      <c r="C246" s="45">
        <v>0</v>
      </c>
      <c r="D246" s="45">
        <v>0</v>
      </c>
      <c r="E246" s="45">
        <v>0</v>
      </c>
      <c r="F246" s="45">
        <v>0</v>
      </c>
      <c r="G246" s="45">
        <v>0</v>
      </c>
      <c r="H246" s="45">
        <v>0</v>
      </c>
      <c r="I246" s="45">
        <v>0</v>
      </c>
      <c r="J246" s="45">
        <v>0</v>
      </c>
      <c r="K246" s="45">
        <v>0</v>
      </c>
      <c r="L246" s="45">
        <v>0</v>
      </c>
      <c r="M246" s="45">
        <v>0</v>
      </c>
      <c r="O246" s="45">
        <f>SUM(B246:M246)</f>
        <v>0</v>
      </c>
      <c r="P246" s="45">
        <f>O246</f>
        <v>0</v>
      </c>
      <c r="Q246" s="67"/>
    </row>
    <row r="247" spans="1:17" ht="15.75" customHeight="1" x14ac:dyDescent="0.35">
      <c r="A247" s="40" t="s">
        <v>104</v>
      </c>
      <c r="B247" s="41">
        <v>50</v>
      </c>
      <c r="C247" s="41">
        <v>50</v>
      </c>
      <c r="D247" s="41">
        <v>50</v>
      </c>
      <c r="E247" s="41">
        <v>50</v>
      </c>
      <c r="F247" s="41">
        <v>50</v>
      </c>
      <c r="G247" s="41">
        <v>50</v>
      </c>
      <c r="H247" s="41">
        <v>50</v>
      </c>
      <c r="I247" s="41">
        <v>50</v>
      </c>
      <c r="J247" s="41">
        <v>50</v>
      </c>
      <c r="K247" s="41">
        <v>50</v>
      </c>
      <c r="L247" s="41">
        <v>50</v>
      </c>
      <c r="M247" s="41">
        <v>50</v>
      </c>
      <c r="O247" s="75"/>
      <c r="P247" s="75"/>
      <c r="Q247" s="67"/>
    </row>
    <row r="248" spans="1:17" ht="15.75" customHeight="1" x14ac:dyDescent="0.35">
      <c r="A248" s="44" t="s">
        <v>97</v>
      </c>
      <c r="B248" s="45">
        <v>3153947.38</v>
      </c>
      <c r="C248" s="45">
        <v>3040195.01</v>
      </c>
      <c r="D248" s="45">
        <v>3048002.52</v>
      </c>
      <c r="E248" s="45">
        <v>3019797.34</v>
      </c>
      <c r="F248" s="45">
        <v>2822614.14</v>
      </c>
      <c r="G248" s="45">
        <v>2338306.5099999998</v>
      </c>
      <c r="H248" s="45">
        <v>3187708.23</v>
      </c>
      <c r="I248" s="45">
        <v>3237771.2</v>
      </c>
      <c r="J248" s="45">
        <v>3196698.01</v>
      </c>
      <c r="K248" s="45">
        <v>2851057.1</v>
      </c>
      <c r="L248" s="45">
        <v>3986285.6000000006</v>
      </c>
      <c r="M248" s="45">
        <v>2973907.91</v>
      </c>
      <c r="O248" s="45">
        <f>SUM(B248:M248)</f>
        <v>36856290.950000003</v>
      </c>
      <c r="P248" s="45">
        <f>O248+105071366</f>
        <v>141927656.94999999</v>
      </c>
      <c r="Q248" s="67"/>
    </row>
    <row r="249" spans="1:17" ht="15.75" customHeight="1" x14ac:dyDescent="0.35">
      <c r="A249" s="44" t="s">
        <v>102</v>
      </c>
      <c r="B249" s="45">
        <v>378473.67999999993</v>
      </c>
      <c r="C249" s="45">
        <v>364823.39999999997</v>
      </c>
      <c r="D249" s="45">
        <v>365760.30000000005</v>
      </c>
      <c r="E249" s="45">
        <v>362375.67999999999</v>
      </c>
      <c r="F249" s="45">
        <v>338713.69999999995</v>
      </c>
      <c r="G249" s="45">
        <v>280596.78000000003</v>
      </c>
      <c r="H249" s="45">
        <v>382524.99</v>
      </c>
      <c r="I249" s="45">
        <v>388532.54</v>
      </c>
      <c r="J249" s="45">
        <v>383603.76000000007</v>
      </c>
      <c r="K249" s="45">
        <v>342126.85000000003</v>
      </c>
      <c r="L249" s="45">
        <v>478354.26</v>
      </c>
      <c r="M249" s="45">
        <v>356868.94999999995</v>
      </c>
      <c r="O249" s="45">
        <f>SUM(B249:M249)</f>
        <v>4422754.8900000006</v>
      </c>
      <c r="P249" s="45">
        <f>O249+13891053</f>
        <v>18313807.890000001</v>
      </c>
      <c r="Q249" s="67"/>
    </row>
    <row r="250" spans="1:17" ht="15.75" customHeight="1" x14ac:dyDescent="0.35">
      <c r="A250" s="44" t="s">
        <v>88</v>
      </c>
      <c r="B250" s="45">
        <v>63078.96</v>
      </c>
      <c r="C250" s="45">
        <v>60803.9</v>
      </c>
      <c r="D250" s="45">
        <v>60960.069999999992</v>
      </c>
      <c r="E250" s="45">
        <v>60395.95</v>
      </c>
      <c r="F250" s="45">
        <v>56452.29</v>
      </c>
      <c r="G250" s="45">
        <v>46766.130000000005</v>
      </c>
      <c r="H250" s="45">
        <v>63754.17</v>
      </c>
      <c r="I250" s="45">
        <v>64755.43</v>
      </c>
      <c r="J250" s="45">
        <v>63933.96</v>
      </c>
      <c r="K250" s="45">
        <v>57021.15</v>
      </c>
      <c r="L250" s="45">
        <v>79725.709999999992</v>
      </c>
      <c r="M250" s="45">
        <v>59478.159999999996</v>
      </c>
      <c r="O250" s="45">
        <f>SUM(B250:M250)</f>
        <v>737125.88</v>
      </c>
      <c r="P250" s="45">
        <f>O250+2101428</f>
        <v>2838553.88</v>
      </c>
      <c r="Q250" s="67"/>
    </row>
    <row r="251" spans="1:17" ht="15.75" customHeight="1" x14ac:dyDescent="0.35">
      <c r="A251" s="40" t="s">
        <v>105</v>
      </c>
      <c r="B251" s="41">
        <v>0</v>
      </c>
      <c r="C251" s="41">
        <v>0</v>
      </c>
      <c r="D251" s="41">
        <v>0</v>
      </c>
      <c r="E251" s="41">
        <v>0</v>
      </c>
      <c r="F251" s="41">
        <v>0</v>
      </c>
      <c r="G251" s="41">
        <v>0</v>
      </c>
      <c r="H251" s="41">
        <v>0</v>
      </c>
      <c r="I251" s="41">
        <v>0</v>
      </c>
      <c r="J251" s="41">
        <v>0</v>
      </c>
      <c r="K251" s="41">
        <v>0</v>
      </c>
      <c r="L251" s="41">
        <v>0</v>
      </c>
      <c r="M251" s="41">
        <v>0</v>
      </c>
      <c r="O251" s="75"/>
      <c r="P251" s="75"/>
      <c r="Q251" s="67"/>
    </row>
    <row r="252" spans="1:17" ht="15.75" customHeight="1" x14ac:dyDescent="0.35">
      <c r="A252" s="44" t="s">
        <v>97</v>
      </c>
      <c r="B252" s="45">
        <v>0</v>
      </c>
      <c r="C252" s="45">
        <v>0</v>
      </c>
      <c r="D252" s="45">
        <v>0</v>
      </c>
      <c r="E252" s="45">
        <v>0</v>
      </c>
      <c r="F252" s="45">
        <v>0</v>
      </c>
      <c r="G252" s="45">
        <v>0</v>
      </c>
      <c r="H252" s="45">
        <v>0</v>
      </c>
      <c r="I252" s="45">
        <v>0</v>
      </c>
      <c r="J252" s="45">
        <v>0</v>
      </c>
      <c r="K252" s="45">
        <v>0</v>
      </c>
      <c r="L252" s="45">
        <v>0</v>
      </c>
      <c r="M252" s="45">
        <v>0</v>
      </c>
      <c r="O252" s="45">
        <f>SUM(B252:M252)</f>
        <v>0</v>
      </c>
      <c r="P252" s="45">
        <f>O252</f>
        <v>0</v>
      </c>
      <c r="Q252" s="67"/>
    </row>
    <row r="253" spans="1:17" ht="15.75" customHeight="1" x14ac:dyDescent="0.35">
      <c r="A253" s="44" t="s">
        <v>102</v>
      </c>
      <c r="B253" s="45">
        <v>0</v>
      </c>
      <c r="C253" s="45">
        <v>0</v>
      </c>
      <c r="D253" s="45">
        <v>0</v>
      </c>
      <c r="E253" s="45">
        <v>0</v>
      </c>
      <c r="F253" s="45">
        <v>0</v>
      </c>
      <c r="G253" s="45">
        <v>0</v>
      </c>
      <c r="H253" s="45">
        <v>0</v>
      </c>
      <c r="I253" s="45">
        <v>0</v>
      </c>
      <c r="J253" s="45">
        <v>0</v>
      </c>
      <c r="K253" s="45">
        <v>0</v>
      </c>
      <c r="L253" s="45">
        <v>0</v>
      </c>
      <c r="M253" s="45">
        <v>0</v>
      </c>
      <c r="O253" s="45">
        <f>SUM(B253:M253)</f>
        <v>0</v>
      </c>
      <c r="P253" s="45">
        <f>O253</f>
        <v>0</v>
      </c>
      <c r="Q253" s="67"/>
    </row>
    <row r="254" spans="1:17" ht="15.75" customHeight="1" x14ac:dyDescent="0.35">
      <c r="A254" s="44" t="s">
        <v>88</v>
      </c>
      <c r="B254" s="45">
        <v>0</v>
      </c>
      <c r="C254" s="45">
        <v>0</v>
      </c>
      <c r="D254" s="45">
        <v>0</v>
      </c>
      <c r="E254" s="45">
        <v>0</v>
      </c>
      <c r="F254" s="45">
        <v>0</v>
      </c>
      <c r="G254" s="45">
        <v>0</v>
      </c>
      <c r="H254" s="45">
        <v>0</v>
      </c>
      <c r="I254" s="45">
        <v>0</v>
      </c>
      <c r="J254" s="45">
        <v>0</v>
      </c>
      <c r="K254" s="45">
        <v>0</v>
      </c>
      <c r="L254" s="45">
        <v>0</v>
      </c>
      <c r="M254" s="45">
        <v>0</v>
      </c>
      <c r="O254" s="45">
        <f>SUM(B254:M254)</f>
        <v>0</v>
      </c>
      <c r="P254" s="45">
        <f>O254</f>
        <v>0</v>
      </c>
      <c r="Q254" s="67"/>
    </row>
    <row r="255" spans="1:17" ht="15.75" customHeight="1" x14ac:dyDescent="0.35">
      <c r="A255" s="40" t="s">
        <v>106</v>
      </c>
      <c r="B255" s="41">
        <v>0</v>
      </c>
      <c r="C255" s="41">
        <v>0</v>
      </c>
      <c r="D255" s="41">
        <v>0</v>
      </c>
      <c r="E255" s="41">
        <v>0</v>
      </c>
      <c r="F255" s="41">
        <v>0</v>
      </c>
      <c r="G255" s="41">
        <v>0</v>
      </c>
      <c r="H255" s="41">
        <v>0</v>
      </c>
      <c r="I255" s="41">
        <v>0</v>
      </c>
      <c r="J255" s="41">
        <v>0</v>
      </c>
      <c r="K255" s="41">
        <v>0</v>
      </c>
      <c r="L255" s="41">
        <v>0</v>
      </c>
      <c r="M255" s="41">
        <v>0</v>
      </c>
      <c r="O255" s="75"/>
      <c r="P255" s="75"/>
      <c r="Q255" s="67"/>
    </row>
    <row r="256" spans="1:17" ht="15.75" customHeight="1" x14ac:dyDescent="0.35">
      <c r="A256" s="44" t="s">
        <v>97</v>
      </c>
      <c r="B256" s="45">
        <v>0</v>
      </c>
      <c r="C256" s="45">
        <v>0</v>
      </c>
      <c r="D256" s="45">
        <v>0</v>
      </c>
      <c r="E256" s="45">
        <v>0</v>
      </c>
      <c r="F256" s="45">
        <v>0</v>
      </c>
      <c r="G256" s="45">
        <v>0</v>
      </c>
      <c r="H256" s="45">
        <v>0</v>
      </c>
      <c r="I256" s="45">
        <v>0</v>
      </c>
      <c r="J256" s="45">
        <v>0</v>
      </c>
      <c r="K256" s="45">
        <v>0</v>
      </c>
      <c r="L256" s="45">
        <v>0</v>
      </c>
      <c r="M256" s="45">
        <v>0</v>
      </c>
      <c r="O256" s="45">
        <f>SUM(B256:M256)</f>
        <v>0</v>
      </c>
      <c r="P256" s="45">
        <f>O256</f>
        <v>0</v>
      </c>
      <c r="Q256" s="67"/>
    </row>
    <row r="257" spans="1:17" ht="15.75" customHeight="1" x14ac:dyDescent="0.35">
      <c r="A257" s="44" t="s">
        <v>102</v>
      </c>
      <c r="B257" s="45">
        <v>0</v>
      </c>
      <c r="C257" s="45">
        <v>0</v>
      </c>
      <c r="D257" s="45">
        <v>0</v>
      </c>
      <c r="E257" s="45">
        <v>0</v>
      </c>
      <c r="F257" s="45">
        <v>0</v>
      </c>
      <c r="G257" s="45">
        <v>0</v>
      </c>
      <c r="H257" s="45">
        <v>0</v>
      </c>
      <c r="I257" s="45">
        <v>0</v>
      </c>
      <c r="J257" s="45">
        <v>0</v>
      </c>
      <c r="K257" s="45">
        <v>0</v>
      </c>
      <c r="L257" s="45">
        <v>0</v>
      </c>
      <c r="M257" s="45">
        <v>0</v>
      </c>
      <c r="O257" s="45">
        <f>SUM(B257:M257)</f>
        <v>0</v>
      </c>
      <c r="P257" s="45">
        <f>O257</f>
        <v>0</v>
      </c>
      <c r="Q257" s="67"/>
    </row>
    <row r="258" spans="1:17" ht="15.75" customHeight="1" x14ac:dyDescent="0.35">
      <c r="A258" s="44" t="s">
        <v>88</v>
      </c>
      <c r="B258" s="45">
        <v>0</v>
      </c>
      <c r="C258" s="45">
        <v>0</v>
      </c>
      <c r="D258" s="45">
        <v>0</v>
      </c>
      <c r="E258" s="45">
        <v>0</v>
      </c>
      <c r="F258" s="45">
        <v>0</v>
      </c>
      <c r="G258" s="45">
        <v>0</v>
      </c>
      <c r="H258" s="45">
        <v>0</v>
      </c>
      <c r="I258" s="45">
        <v>0</v>
      </c>
      <c r="J258" s="45">
        <v>0</v>
      </c>
      <c r="K258" s="45">
        <v>0</v>
      </c>
      <c r="L258" s="45">
        <v>0</v>
      </c>
      <c r="M258" s="45">
        <v>0</v>
      </c>
      <c r="O258" s="45">
        <f>SUM(B258:M258)</f>
        <v>0</v>
      </c>
      <c r="P258" s="45">
        <f>O258</f>
        <v>0</v>
      </c>
      <c r="Q258" s="67"/>
    </row>
    <row r="259" spans="1:17" ht="15.75" customHeight="1" x14ac:dyDescent="0.35">
      <c r="A259" s="44"/>
      <c r="B259" s="51"/>
      <c r="C259" s="64"/>
      <c r="D259" s="64"/>
      <c r="E259" s="64"/>
      <c r="F259" s="51"/>
      <c r="G259" s="51"/>
      <c r="I259" s="51"/>
      <c r="J259" s="51"/>
      <c r="K259" s="45"/>
      <c r="L259" s="45"/>
      <c r="M259" s="45"/>
      <c r="O259" s="51"/>
      <c r="P259" s="51"/>
      <c r="Q259" s="67"/>
    </row>
    <row r="260" spans="1:17" ht="15.75" customHeight="1" x14ac:dyDescent="0.35">
      <c r="A260" s="53" t="s">
        <v>109</v>
      </c>
      <c r="B260" s="51"/>
      <c r="C260" s="64"/>
      <c r="D260" s="64"/>
      <c r="E260" s="64"/>
      <c r="F260" s="51"/>
      <c r="G260" s="51"/>
      <c r="I260" s="51"/>
      <c r="J260" s="51"/>
      <c r="K260" s="45"/>
      <c r="L260" s="45"/>
      <c r="M260" s="45"/>
      <c r="O260" s="51"/>
      <c r="P260" s="51"/>
      <c r="Q260" s="67"/>
    </row>
    <row r="261" spans="1:17" ht="15.75" customHeight="1" x14ac:dyDescent="0.35">
      <c r="A261" s="40" t="s">
        <v>87</v>
      </c>
      <c r="B261" s="41">
        <v>29</v>
      </c>
      <c r="C261" s="41">
        <v>29</v>
      </c>
      <c r="D261" s="41">
        <v>29</v>
      </c>
      <c r="E261" s="41">
        <v>29</v>
      </c>
      <c r="F261" s="41">
        <v>29</v>
      </c>
      <c r="G261" s="41">
        <v>29</v>
      </c>
      <c r="H261" s="41">
        <v>29</v>
      </c>
      <c r="I261" s="41">
        <v>29</v>
      </c>
      <c r="J261" s="41">
        <v>29</v>
      </c>
      <c r="K261" s="41">
        <v>29.2</v>
      </c>
      <c r="L261" s="41">
        <v>29</v>
      </c>
      <c r="M261" s="41">
        <v>29</v>
      </c>
      <c r="O261" s="75"/>
      <c r="P261" s="75"/>
      <c r="Q261" s="67"/>
    </row>
    <row r="262" spans="1:17" ht="15.75" customHeight="1" x14ac:dyDescent="0.35">
      <c r="A262" s="44" t="s">
        <v>97</v>
      </c>
      <c r="B262" s="45">
        <v>394232.5</v>
      </c>
      <c r="C262" s="45">
        <v>502784.70999999996</v>
      </c>
      <c r="D262" s="45">
        <v>361695.25</v>
      </c>
      <c r="E262" s="45">
        <v>453557.87</v>
      </c>
      <c r="F262" s="45">
        <v>428159.25</v>
      </c>
      <c r="G262" s="45">
        <v>395614.25</v>
      </c>
      <c r="H262" s="45">
        <v>374791.67999999999</v>
      </c>
      <c r="I262" s="45">
        <v>517342.5</v>
      </c>
      <c r="J262" s="45">
        <v>383398.23</v>
      </c>
      <c r="K262" s="45">
        <v>459270.57</v>
      </c>
      <c r="L262" s="45">
        <v>310647.55</v>
      </c>
      <c r="M262" s="45">
        <v>565531.5</v>
      </c>
      <c r="O262" s="45">
        <f>SUM(B262:M262)</f>
        <v>5147025.8600000003</v>
      </c>
      <c r="P262" s="45">
        <f>O262+10239036</f>
        <v>15386061.859999999</v>
      </c>
      <c r="Q262" s="67"/>
    </row>
    <row r="263" spans="1:17" ht="15.75" customHeight="1" x14ac:dyDescent="0.35">
      <c r="A263" s="44" t="s">
        <v>102</v>
      </c>
      <c r="B263" s="45">
        <v>47307.899999999994</v>
      </c>
      <c r="C263" s="45">
        <v>60334.170000000006</v>
      </c>
      <c r="D263" s="45">
        <v>43403.430000000008</v>
      </c>
      <c r="E263" s="45">
        <v>54426.94</v>
      </c>
      <c r="F263" s="45">
        <v>51379.109999999993</v>
      </c>
      <c r="G263" s="45">
        <v>47473.71</v>
      </c>
      <c r="H263" s="45">
        <v>44975</v>
      </c>
      <c r="I263" s="45">
        <v>62081.1</v>
      </c>
      <c r="J263" s="45">
        <v>46007.790000000008</v>
      </c>
      <c r="K263" s="45">
        <v>55112.47</v>
      </c>
      <c r="L263" s="45">
        <v>37277.71</v>
      </c>
      <c r="M263" s="45">
        <v>67863.78</v>
      </c>
      <c r="O263" s="45">
        <f>SUM(B263:M263)</f>
        <v>617643.11</v>
      </c>
      <c r="P263" s="45">
        <f>O263+1433465</f>
        <v>2051108.1099999999</v>
      </c>
      <c r="Q263" s="67"/>
    </row>
    <row r="264" spans="1:17" ht="15.75" customHeight="1" x14ac:dyDescent="0.35">
      <c r="A264" s="44" t="s">
        <v>88</v>
      </c>
      <c r="B264" s="45">
        <v>7884.6599999999989</v>
      </c>
      <c r="C264" s="45">
        <v>10055.689999999999</v>
      </c>
      <c r="D264" s="45">
        <v>7233.91</v>
      </c>
      <c r="E264" s="45">
        <v>9071.16</v>
      </c>
      <c r="F264" s="45">
        <v>8563.19</v>
      </c>
      <c r="G264" s="45">
        <v>7912.29</v>
      </c>
      <c r="H264" s="45">
        <v>7495.83</v>
      </c>
      <c r="I264" s="45">
        <v>10346.85</v>
      </c>
      <c r="J264" s="45">
        <v>7667.96</v>
      </c>
      <c r="K264" s="45">
        <v>9185.42</v>
      </c>
      <c r="L264" s="45">
        <v>6212.95</v>
      </c>
      <c r="M264" s="45">
        <v>11310.63</v>
      </c>
      <c r="O264" s="45">
        <f>SUM(B264:M264)</f>
        <v>102940.54000000001</v>
      </c>
      <c r="P264" s="45">
        <f>O264+204781</f>
        <v>307721.54000000004</v>
      </c>
      <c r="Q264" s="67"/>
    </row>
    <row r="265" spans="1:17" ht="15.75" customHeight="1" x14ac:dyDescent="0.35">
      <c r="A265" s="40" t="s">
        <v>103</v>
      </c>
      <c r="B265" s="41">
        <v>0</v>
      </c>
      <c r="C265" s="41">
        <v>0</v>
      </c>
      <c r="D265" s="41">
        <v>0</v>
      </c>
      <c r="E265" s="41">
        <v>0</v>
      </c>
      <c r="F265" s="41">
        <v>0</v>
      </c>
      <c r="G265" s="41">
        <v>0</v>
      </c>
      <c r="H265" s="41">
        <v>0</v>
      </c>
      <c r="I265" s="41">
        <v>0</v>
      </c>
      <c r="J265" s="41">
        <v>0</v>
      </c>
      <c r="K265" s="41">
        <v>0</v>
      </c>
      <c r="L265" s="41">
        <v>0</v>
      </c>
      <c r="M265" s="41">
        <v>0</v>
      </c>
      <c r="O265" s="75"/>
      <c r="P265" s="75"/>
      <c r="Q265" s="67"/>
    </row>
    <row r="266" spans="1:17" ht="15.75" customHeight="1" x14ac:dyDescent="0.35">
      <c r="A266" s="44" t="s">
        <v>97</v>
      </c>
      <c r="B266" s="45">
        <v>0</v>
      </c>
      <c r="C266" s="45">
        <v>0</v>
      </c>
      <c r="D266" s="45">
        <v>0</v>
      </c>
      <c r="E266" s="45">
        <v>0</v>
      </c>
      <c r="F266" s="45">
        <v>0</v>
      </c>
      <c r="G266" s="45">
        <v>0</v>
      </c>
      <c r="H266" s="45">
        <v>0</v>
      </c>
      <c r="I266" s="45">
        <v>0</v>
      </c>
      <c r="J266" s="45">
        <v>0</v>
      </c>
      <c r="K266" s="45">
        <v>0</v>
      </c>
      <c r="L266" s="45">
        <v>0</v>
      </c>
      <c r="M266" s="45">
        <v>0</v>
      </c>
      <c r="O266" s="45">
        <f>SUM(B266:M266)</f>
        <v>0</v>
      </c>
      <c r="P266" s="45">
        <f>O266</f>
        <v>0</v>
      </c>
      <c r="Q266" s="67"/>
    </row>
    <row r="267" spans="1:17" ht="15.75" customHeight="1" x14ac:dyDescent="0.35">
      <c r="A267" s="44" t="s">
        <v>102</v>
      </c>
      <c r="B267" s="45">
        <v>0</v>
      </c>
      <c r="C267" s="45">
        <v>0</v>
      </c>
      <c r="D267" s="45">
        <v>0</v>
      </c>
      <c r="E267" s="45">
        <v>0</v>
      </c>
      <c r="F267" s="45">
        <v>0</v>
      </c>
      <c r="G267" s="45">
        <v>0</v>
      </c>
      <c r="H267" s="45">
        <v>0</v>
      </c>
      <c r="I267" s="45">
        <v>0</v>
      </c>
      <c r="J267" s="45">
        <v>0</v>
      </c>
      <c r="K267" s="45">
        <v>0</v>
      </c>
      <c r="L267" s="45">
        <v>0</v>
      </c>
      <c r="M267" s="45">
        <v>0</v>
      </c>
      <c r="O267" s="45">
        <f>SUM(B267:M267)</f>
        <v>0</v>
      </c>
      <c r="P267" s="45">
        <f>O267</f>
        <v>0</v>
      </c>
      <c r="Q267" s="67"/>
    </row>
    <row r="268" spans="1:17" ht="15.75" customHeight="1" x14ac:dyDescent="0.35">
      <c r="A268" s="44" t="s">
        <v>88</v>
      </c>
      <c r="B268" s="45">
        <v>0</v>
      </c>
      <c r="C268" s="45">
        <v>0</v>
      </c>
      <c r="D268" s="45">
        <v>0</v>
      </c>
      <c r="E268" s="45">
        <v>0</v>
      </c>
      <c r="F268" s="45">
        <v>0</v>
      </c>
      <c r="G268" s="45">
        <v>0</v>
      </c>
      <c r="H268" s="45">
        <v>0</v>
      </c>
      <c r="I268" s="45">
        <v>0</v>
      </c>
      <c r="J268" s="45">
        <v>0</v>
      </c>
      <c r="K268" s="45">
        <v>0</v>
      </c>
      <c r="L268" s="45">
        <v>0</v>
      </c>
      <c r="M268" s="45">
        <v>0</v>
      </c>
      <c r="O268" s="45">
        <f>SUM(B268:M268)</f>
        <v>0</v>
      </c>
      <c r="P268" s="45">
        <f>O268</f>
        <v>0</v>
      </c>
      <c r="Q268" s="67"/>
    </row>
    <row r="269" spans="1:17" ht="15.75" customHeight="1" x14ac:dyDescent="0.35">
      <c r="A269" s="40" t="s">
        <v>104</v>
      </c>
      <c r="B269" s="41">
        <v>29</v>
      </c>
      <c r="C269" s="41">
        <v>29</v>
      </c>
      <c r="D269" s="41">
        <v>29</v>
      </c>
      <c r="E269" s="41">
        <v>29</v>
      </c>
      <c r="F269" s="41">
        <v>29</v>
      </c>
      <c r="G269" s="41">
        <v>29</v>
      </c>
      <c r="H269" s="41">
        <v>29</v>
      </c>
      <c r="I269" s="41">
        <v>29</v>
      </c>
      <c r="J269" s="41">
        <v>29</v>
      </c>
      <c r="K269" s="41">
        <v>29.2</v>
      </c>
      <c r="L269" s="41">
        <v>29</v>
      </c>
      <c r="M269" s="41">
        <v>29</v>
      </c>
      <c r="O269" s="75"/>
      <c r="P269" s="75"/>
      <c r="Q269" s="67"/>
    </row>
    <row r="270" spans="1:17" ht="15.75" customHeight="1" x14ac:dyDescent="0.35">
      <c r="A270" s="44" t="s">
        <v>97</v>
      </c>
      <c r="B270" s="45">
        <v>394232.5</v>
      </c>
      <c r="C270" s="45">
        <v>502784.70999999996</v>
      </c>
      <c r="D270" s="45">
        <v>361695.25</v>
      </c>
      <c r="E270" s="45">
        <v>453557.87</v>
      </c>
      <c r="F270" s="45">
        <v>428159.25</v>
      </c>
      <c r="G270" s="45">
        <v>395614.25</v>
      </c>
      <c r="H270" s="45">
        <v>374791.67999999999</v>
      </c>
      <c r="I270" s="45">
        <v>517342.5</v>
      </c>
      <c r="J270" s="45">
        <v>383398.23</v>
      </c>
      <c r="K270" s="45">
        <v>459270.57</v>
      </c>
      <c r="L270" s="45">
        <v>310647.55</v>
      </c>
      <c r="M270" s="45">
        <v>565531.5</v>
      </c>
      <c r="O270" s="45">
        <f>SUM(B270:M270)</f>
        <v>5147025.8600000003</v>
      </c>
      <c r="P270" s="45">
        <f>O270+10239036</f>
        <v>15386061.859999999</v>
      </c>
      <c r="Q270" s="67"/>
    </row>
    <row r="271" spans="1:17" ht="15.75" customHeight="1" x14ac:dyDescent="0.35">
      <c r="A271" s="44" t="s">
        <v>102</v>
      </c>
      <c r="B271" s="45">
        <v>47307.899999999994</v>
      </c>
      <c r="C271" s="45">
        <v>60334.170000000006</v>
      </c>
      <c r="D271" s="45">
        <v>43403.430000000008</v>
      </c>
      <c r="E271" s="45">
        <v>54426.94</v>
      </c>
      <c r="F271" s="45">
        <v>51379.109999999993</v>
      </c>
      <c r="G271" s="45">
        <v>47473.71</v>
      </c>
      <c r="H271" s="45">
        <v>44975</v>
      </c>
      <c r="I271" s="45">
        <v>62081.1</v>
      </c>
      <c r="J271" s="45">
        <v>46007.790000000008</v>
      </c>
      <c r="K271" s="45">
        <v>55112.47</v>
      </c>
      <c r="L271" s="45">
        <v>37277.71</v>
      </c>
      <c r="M271" s="45">
        <v>67863.78</v>
      </c>
      <c r="O271" s="45">
        <f>SUM(B271:M271)</f>
        <v>617643.11</v>
      </c>
      <c r="P271" s="45">
        <f>O271+1433465</f>
        <v>2051108.1099999999</v>
      </c>
      <c r="Q271" s="67"/>
    </row>
    <row r="272" spans="1:17" ht="15.75" customHeight="1" x14ac:dyDescent="0.35">
      <c r="A272" s="44" t="s">
        <v>88</v>
      </c>
      <c r="B272" s="45">
        <v>7884.6599999999989</v>
      </c>
      <c r="C272" s="45">
        <v>10055.689999999999</v>
      </c>
      <c r="D272" s="45">
        <v>7233.91</v>
      </c>
      <c r="E272" s="45">
        <v>9071.16</v>
      </c>
      <c r="F272" s="45">
        <v>8563.19</v>
      </c>
      <c r="G272" s="45">
        <v>7912.29</v>
      </c>
      <c r="H272" s="45">
        <v>7495.83</v>
      </c>
      <c r="I272" s="45">
        <v>10346.85</v>
      </c>
      <c r="J272" s="45">
        <v>7667.96</v>
      </c>
      <c r="K272" s="45">
        <v>9185.42</v>
      </c>
      <c r="L272" s="45">
        <v>6212.95</v>
      </c>
      <c r="M272" s="45">
        <v>11310.63</v>
      </c>
      <c r="O272" s="45">
        <f>SUM(B272:M272)</f>
        <v>102940.54000000001</v>
      </c>
      <c r="P272" s="45">
        <f>O272+204781</f>
        <v>307721.54000000004</v>
      </c>
      <c r="Q272" s="67"/>
    </row>
    <row r="273" spans="1:18" ht="15.75" customHeight="1" x14ac:dyDescent="0.35">
      <c r="A273" s="40" t="s">
        <v>105</v>
      </c>
      <c r="B273" s="41">
        <v>0</v>
      </c>
      <c r="C273" s="41">
        <v>0</v>
      </c>
      <c r="D273" s="41">
        <v>0</v>
      </c>
      <c r="E273" s="41">
        <v>0</v>
      </c>
      <c r="F273" s="41">
        <v>0</v>
      </c>
      <c r="G273" s="41">
        <v>0</v>
      </c>
      <c r="H273" s="41">
        <v>0</v>
      </c>
      <c r="I273" s="41">
        <v>0</v>
      </c>
      <c r="J273" s="41">
        <v>0</v>
      </c>
      <c r="K273" s="41">
        <v>0</v>
      </c>
      <c r="L273" s="41">
        <v>0</v>
      </c>
      <c r="M273" s="41">
        <v>0</v>
      </c>
      <c r="O273" s="75"/>
      <c r="P273" s="75"/>
      <c r="Q273" s="67"/>
    </row>
    <row r="274" spans="1:18" ht="15.75" customHeight="1" x14ac:dyDescent="0.35">
      <c r="A274" s="44" t="s">
        <v>97</v>
      </c>
      <c r="B274" s="45">
        <v>0</v>
      </c>
      <c r="C274" s="45">
        <v>0</v>
      </c>
      <c r="D274" s="45">
        <v>0</v>
      </c>
      <c r="E274" s="45">
        <v>0</v>
      </c>
      <c r="F274" s="45">
        <v>0</v>
      </c>
      <c r="G274" s="45">
        <v>0</v>
      </c>
      <c r="H274" s="45">
        <v>0</v>
      </c>
      <c r="I274" s="45">
        <v>0</v>
      </c>
      <c r="J274" s="45">
        <v>0</v>
      </c>
      <c r="K274" s="45">
        <v>0</v>
      </c>
      <c r="L274" s="45">
        <v>0</v>
      </c>
      <c r="M274" s="45">
        <v>0</v>
      </c>
      <c r="O274" s="45">
        <f>SUM(B274:M274)</f>
        <v>0</v>
      </c>
      <c r="P274" s="45">
        <f>O274</f>
        <v>0</v>
      </c>
      <c r="Q274" s="67"/>
    </row>
    <row r="275" spans="1:18" ht="15.75" customHeight="1" x14ac:dyDescent="0.35">
      <c r="A275" s="44" t="s">
        <v>102</v>
      </c>
      <c r="B275" s="45">
        <v>0</v>
      </c>
      <c r="C275" s="45">
        <v>0</v>
      </c>
      <c r="D275" s="45">
        <v>0</v>
      </c>
      <c r="E275" s="45">
        <v>0</v>
      </c>
      <c r="F275" s="45">
        <v>0</v>
      </c>
      <c r="G275" s="45">
        <v>0</v>
      </c>
      <c r="H275" s="45">
        <v>0</v>
      </c>
      <c r="I275" s="45">
        <v>0</v>
      </c>
      <c r="J275" s="45">
        <v>0</v>
      </c>
      <c r="K275" s="45">
        <v>0</v>
      </c>
      <c r="L275" s="45">
        <v>0</v>
      </c>
      <c r="M275" s="45">
        <v>0</v>
      </c>
      <c r="O275" s="45">
        <f>SUM(B275:M275)</f>
        <v>0</v>
      </c>
      <c r="P275" s="45">
        <f>O275</f>
        <v>0</v>
      </c>
      <c r="Q275" s="67"/>
    </row>
    <row r="276" spans="1:18" ht="15.75" customHeight="1" x14ac:dyDescent="0.35">
      <c r="A276" s="44" t="s">
        <v>88</v>
      </c>
      <c r="B276" s="45">
        <v>0</v>
      </c>
      <c r="C276" s="45">
        <v>0</v>
      </c>
      <c r="D276" s="45">
        <v>0</v>
      </c>
      <c r="E276" s="45">
        <v>0</v>
      </c>
      <c r="F276" s="45">
        <v>0</v>
      </c>
      <c r="G276" s="45">
        <v>0</v>
      </c>
      <c r="H276" s="45">
        <v>0</v>
      </c>
      <c r="I276" s="45">
        <v>0</v>
      </c>
      <c r="J276" s="45">
        <v>0</v>
      </c>
      <c r="K276" s="45">
        <v>0</v>
      </c>
      <c r="L276" s="45">
        <v>0</v>
      </c>
      <c r="M276" s="45">
        <v>0</v>
      </c>
      <c r="O276" s="45">
        <f>SUM(B276:M276)</f>
        <v>0</v>
      </c>
      <c r="P276" s="45">
        <f>O276</f>
        <v>0</v>
      </c>
      <c r="Q276" s="67"/>
    </row>
    <row r="277" spans="1:18" ht="15.75" customHeight="1" x14ac:dyDescent="0.35">
      <c r="A277" s="40" t="s">
        <v>106</v>
      </c>
      <c r="B277" s="41">
        <v>0</v>
      </c>
      <c r="C277" s="41">
        <v>0</v>
      </c>
      <c r="D277" s="41">
        <v>0</v>
      </c>
      <c r="E277" s="41">
        <v>0</v>
      </c>
      <c r="F277" s="41">
        <v>0</v>
      </c>
      <c r="G277" s="41">
        <v>0</v>
      </c>
      <c r="H277" s="41">
        <v>0</v>
      </c>
      <c r="I277" s="41">
        <v>0</v>
      </c>
      <c r="J277" s="41">
        <v>0</v>
      </c>
      <c r="K277" s="41">
        <v>0</v>
      </c>
      <c r="L277" s="41">
        <v>0</v>
      </c>
      <c r="M277" s="41">
        <v>0</v>
      </c>
      <c r="O277" s="41"/>
      <c r="P277" s="75"/>
      <c r="Q277" s="67"/>
    </row>
    <row r="278" spans="1:18" ht="15.75" customHeight="1" x14ac:dyDescent="0.35">
      <c r="A278" s="44" t="s">
        <v>97</v>
      </c>
      <c r="B278" s="45">
        <v>0</v>
      </c>
      <c r="C278" s="45">
        <v>0</v>
      </c>
      <c r="D278" s="45">
        <v>0</v>
      </c>
      <c r="E278" s="45">
        <v>0</v>
      </c>
      <c r="F278" s="45">
        <v>0</v>
      </c>
      <c r="G278" s="45">
        <v>0</v>
      </c>
      <c r="H278" s="45">
        <v>0</v>
      </c>
      <c r="I278" s="45">
        <v>0</v>
      </c>
      <c r="J278" s="45">
        <v>0</v>
      </c>
      <c r="K278" s="45">
        <v>0</v>
      </c>
      <c r="L278" s="45">
        <v>0</v>
      </c>
      <c r="M278" s="45">
        <v>0</v>
      </c>
      <c r="O278" s="45">
        <f>SUM(B278:M278)</f>
        <v>0</v>
      </c>
      <c r="P278" s="45">
        <f>O278</f>
        <v>0</v>
      </c>
      <c r="Q278" s="67"/>
    </row>
    <row r="279" spans="1:18" ht="15.75" customHeight="1" x14ac:dyDescent="0.35">
      <c r="A279" s="44" t="s">
        <v>102</v>
      </c>
      <c r="B279" s="45">
        <v>0</v>
      </c>
      <c r="C279" s="45">
        <v>0</v>
      </c>
      <c r="D279" s="45">
        <v>0</v>
      </c>
      <c r="E279" s="45">
        <v>0</v>
      </c>
      <c r="F279" s="45">
        <v>0</v>
      </c>
      <c r="G279" s="45">
        <v>0</v>
      </c>
      <c r="H279" s="45">
        <v>0</v>
      </c>
      <c r="I279" s="45">
        <v>0</v>
      </c>
      <c r="J279" s="45">
        <v>0</v>
      </c>
      <c r="K279" s="45">
        <v>0</v>
      </c>
      <c r="L279" s="45">
        <v>0</v>
      </c>
      <c r="M279" s="45">
        <v>0</v>
      </c>
      <c r="O279" s="45">
        <f>SUM(B279:M279)</f>
        <v>0</v>
      </c>
      <c r="P279" s="45">
        <f>O279</f>
        <v>0</v>
      </c>
      <c r="Q279" s="67"/>
    </row>
    <row r="280" spans="1:18" ht="15.75" customHeight="1" x14ac:dyDescent="0.35">
      <c r="A280" s="44" t="s">
        <v>88</v>
      </c>
      <c r="B280" s="45">
        <v>0</v>
      </c>
      <c r="C280" s="45">
        <v>0</v>
      </c>
      <c r="D280" s="45">
        <v>0</v>
      </c>
      <c r="E280" s="45">
        <v>0</v>
      </c>
      <c r="F280" s="45">
        <v>0</v>
      </c>
      <c r="G280" s="45">
        <v>0</v>
      </c>
      <c r="H280" s="45">
        <v>0</v>
      </c>
      <c r="I280" s="45">
        <v>0</v>
      </c>
      <c r="J280" s="45">
        <v>0</v>
      </c>
      <c r="K280" s="45">
        <v>0</v>
      </c>
      <c r="L280" s="45">
        <v>0</v>
      </c>
      <c r="M280" s="45">
        <v>0</v>
      </c>
      <c r="O280" s="45">
        <f>SUM(B280:M280)</f>
        <v>0</v>
      </c>
      <c r="P280" s="45">
        <f>O280</f>
        <v>0</v>
      </c>
      <c r="Q280" s="67"/>
    </row>
    <row r="281" spans="1:18" ht="15.75" customHeight="1" x14ac:dyDescent="0.35">
      <c r="A281" s="44"/>
      <c r="B281" s="41"/>
      <c r="C281" s="64"/>
      <c r="D281" s="64"/>
      <c r="E281" s="41"/>
      <c r="F281" s="41"/>
      <c r="G281" s="41"/>
      <c r="I281" s="41"/>
      <c r="J281" s="51"/>
      <c r="K281" s="45"/>
      <c r="L281" s="45"/>
      <c r="M281" s="45"/>
      <c r="O281" s="51"/>
      <c r="P281" s="51"/>
      <c r="Q281" s="67"/>
    </row>
    <row r="282" spans="1:18" ht="15.75" customHeight="1" x14ac:dyDescent="0.35">
      <c r="A282" s="39" t="s">
        <v>96</v>
      </c>
      <c r="B282" s="51"/>
      <c r="C282" s="45"/>
      <c r="D282" s="45"/>
      <c r="E282" s="51"/>
      <c r="F282" s="51"/>
      <c r="G282" s="51"/>
      <c r="I282" s="51"/>
      <c r="J282" s="51"/>
      <c r="K282" s="45"/>
      <c r="L282" s="45"/>
      <c r="M282" s="45"/>
      <c r="O282" s="51"/>
      <c r="P282" s="51"/>
      <c r="Q282" s="67"/>
    </row>
    <row r="283" spans="1:18" ht="15.75" customHeight="1" x14ac:dyDescent="0.35">
      <c r="A283" s="40" t="s">
        <v>87</v>
      </c>
      <c r="B283" s="65">
        <v>1130</v>
      </c>
      <c r="C283" s="63">
        <v>1130</v>
      </c>
      <c r="D283" s="63">
        <v>1135.2</v>
      </c>
      <c r="E283" s="65">
        <v>1131</v>
      </c>
      <c r="F283" s="65">
        <v>1139</v>
      </c>
      <c r="G283" s="65">
        <v>1134.8</v>
      </c>
      <c r="H283" s="65">
        <v>1167</v>
      </c>
      <c r="I283" s="65">
        <v>1171</v>
      </c>
      <c r="J283" s="65">
        <v>1178</v>
      </c>
      <c r="K283" s="63">
        <v>1186.4000000000001</v>
      </c>
      <c r="L283" s="63">
        <v>1191.3333333333335</v>
      </c>
      <c r="M283" s="63">
        <v>1186.2</v>
      </c>
      <c r="O283" s="41"/>
      <c r="P283" s="75"/>
      <c r="Q283" s="67"/>
    </row>
    <row r="284" spans="1:18" ht="15.75" customHeight="1" x14ac:dyDescent="0.35">
      <c r="A284" s="44" t="s">
        <v>97</v>
      </c>
      <c r="B284" s="45">
        <v>69167910.359999985</v>
      </c>
      <c r="C284" s="45">
        <v>69551148.36999999</v>
      </c>
      <c r="D284" s="45">
        <v>65916872.020000003</v>
      </c>
      <c r="E284" s="45">
        <v>67546662.510000005</v>
      </c>
      <c r="F284" s="45">
        <v>65579696.25</v>
      </c>
      <c r="G284" s="45">
        <v>72223959.359999999</v>
      </c>
      <c r="H284" s="45">
        <v>71093204.750000015</v>
      </c>
      <c r="I284" s="45">
        <v>68187957.149999991</v>
      </c>
      <c r="J284" s="45">
        <v>77914244.890000001</v>
      </c>
      <c r="K284" s="45">
        <v>72206808.829999983</v>
      </c>
      <c r="L284" s="45">
        <v>71342205.979999989</v>
      </c>
      <c r="M284" s="45">
        <v>68446415.489999995</v>
      </c>
      <c r="O284" s="45">
        <f>SUM(B284:M284)</f>
        <v>839177085.96000004</v>
      </c>
      <c r="P284" s="45">
        <f>P8+P34+P60+P86+P108+P130+P152+P174+P196+P218+P240+P262</f>
        <v>4235463009.96</v>
      </c>
      <c r="Q284" s="68"/>
      <c r="R284" s="66"/>
    </row>
    <row r="285" spans="1:18" ht="15.75" customHeight="1" x14ac:dyDescent="0.35">
      <c r="A285" s="44" t="s">
        <v>102</v>
      </c>
      <c r="B285" s="45">
        <v>8603097.709999999</v>
      </c>
      <c r="C285" s="45">
        <v>8630603.75</v>
      </c>
      <c r="D285" s="45">
        <v>8148073.2399999993</v>
      </c>
      <c r="E285" s="45">
        <v>8273295.8200000003</v>
      </c>
      <c r="F285" s="45">
        <v>8014022.9100000011</v>
      </c>
      <c r="G285" s="45">
        <v>8793687.290000001</v>
      </c>
      <c r="H285" s="45">
        <v>8676004.3300000001</v>
      </c>
      <c r="I285" s="45">
        <v>8349535.3199999984</v>
      </c>
      <c r="J285" s="45">
        <v>9494441.25</v>
      </c>
      <c r="K285" s="45">
        <v>8820135.0200000014</v>
      </c>
      <c r="L285" s="45">
        <v>8729869.4300000016</v>
      </c>
      <c r="M285" s="45">
        <v>8368901.2600000007</v>
      </c>
      <c r="O285" s="45">
        <f>SUM(B285:M285)</f>
        <v>102901667.33</v>
      </c>
      <c r="P285" s="45">
        <f>P9+P35+P61+P87+P109+P131+P153+P175+P197+P219+P241+P263</f>
        <v>544186994.33000004</v>
      </c>
      <c r="Q285" s="68"/>
      <c r="R285" s="66"/>
    </row>
    <row r="286" spans="1:18" ht="15.75" customHeight="1" x14ac:dyDescent="0.35">
      <c r="A286" s="44" t="s">
        <v>88</v>
      </c>
      <c r="B286" s="45">
        <v>1383358.3099999998</v>
      </c>
      <c r="C286" s="45">
        <v>1391023.06</v>
      </c>
      <c r="D286" s="45">
        <v>1318337.54</v>
      </c>
      <c r="E286" s="45">
        <v>1350933.2999999998</v>
      </c>
      <c r="F286" s="45">
        <v>1311594.01</v>
      </c>
      <c r="G286" s="45">
        <v>1444479.2500000005</v>
      </c>
      <c r="H286" s="45">
        <v>1421864.1499999997</v>
      </c>
      <c r="I286" s="45">
        <v>1363759.2</v>
      </c>
      <c r="J286" s="45">
        <v>1558284.92</v>
      </c>
      <c r="K286" s="45">
        <v>1444136.2499999998</v>
      </c>
      <c r="L286" s="45">
        <v>1426844.2099999997</v>
      </c>
      <c r="M286" s="45">
        <v>1368928.38</v>
      </c>
      <c r="O286" s="45">
        <f>SUM(B286:M286)</f>
        <v>16783542.579999998</v>
      </c>
      <c r="P286" s="45">
        <f>P10+P36+P62+P88+P110+P132+P154+P176+P198+P220+P242+P264</f>
        <v>84709266.579999998</v>
      </c>
      <c r="Q286" s="68"/>
      <c r="R286" s="66"/>
    </row>
    <row r="287" spans="1:18" ht="15.75" customHeight="1" x14ac:dyDescent="0.35">
      <c r="A287" s="40" t="s">
        <v>103</v>
      </c>
      <c r="B287" s="41">
        <v>224</v>
      </c>
      <c r="C287" s="41">
        <v>224</v>
      </c>
      <c r="D287" s="41">
        <v>224</v>
      </c>
      <c r="E287" s="41">
        <v>224</v>
      </c>
      <c r="F287" s="41">
        <f>F221+F199+F177+F155+F133+F111+F89+F63+F37+F11</f>
        <v>224</v>
      </c>
      <c r="G287" s="41">
        <v>224</v>
      </c>
      <c r="H287" s="41">
        <v>224</v>
      </c>
      <c r="I287" s="41">
        <v>225</v>
      </c>
      <c r="J287" s="41">
        <v>226</v>
      </c>
      <c r="K287" s="41">
        <v>226</v>
      </c>
      <c r="L287" s="41">
        <v>226</v>
      </c>
      <c r="M287" s="41">
        <v>226</v>
      </c>
      <c r="O287" s="41"/>
      <c r="P287" s="41"/>
      <c r="Q287" s="68"/>
      <c r="R287" s="66"/>
    </row>
    <row r="288" spans="1:18" ht="15.75" customHeight="1" x14ac:dyDescent="0.35">
      <c r="A288" s="44" t="s">
        <v>97</v>
      </c>
      <c r="B288" s="45">
        <v>4977411.0199999996</v>
      </c>
      <c r="C288" s="45">
        <v>4999388.2699999996</v>
      </c>
      <c r="D288" s="45">
        <v>4340957.0199999996</v>
      </c>
      <c r="E288" s="45">
        <v>4781292</v>
      </c>
      <c r="F288" s="45">
        <v>4826140.0999999996</v>
      </c>
      <c r="G288" s="45">
        <v>4929519</v>
      </c>
      <c r="H288" s="45">
        <v>4789340</v>
      </c>
      <c r="I288" s="45">
        <v>5145025.3499999996</v>
      </c>
      <c r="J288" s="45">
        <v>5166167.21</v>
      </c>
      <c r="K288" s="45">
        <v>5019180</v>
      </c>
      <c r="L288" s="45">
        <v>5035223</v>
      </c>
      <c r="M288" s="45">
        <v>4418302.01</v>
      </c>
      <c r="O288" s="45">
        <f>SUM(B288:M288)</f>
        <v>58427944.979999997</v>
      </c>
      <c r="P288" s="45">
        <f>P12+P38+P64+P90+P112+P134+P156+P178+P200+P222+P244+P266</f>
        <v>343336462.98000002</v>
      </c>
      <c r="Q288" s="68"/>
      <c r="R288" s="66"/>
    </row>
    <row r="289" spans="1:18" ht="15.75" customHeight="1" x14ac:dyDescent="0.35">
      <c r="A289" s="44" t="s">
        <v>102</v>
      </c>
      <c r="B289" s="45">
        <v>597289.31999999995</v>
      </c>
      <c r="C289" s="45">
        <v>599926.59</v>
      </c>
      <c r="D289" s="45">
        <v>520914.83999999997</v>
      </c>
      <c r="E289" s="45">
        <v>573755.03999999992</v>
      </c>
      <c r="F289" s="45">
        <v>579136.81000000006</v>
      </c>
      <c r="G289" s="45">
        <v>591542.28</v>
      </c>
      <c r="H289" s="45">
        <v>574720.80000000005</v>
      </c>
      <c r="I289" s="45">
        <v>617403.03999999992</v>
      </c>
      <c r="J289" s="45">
        <v>619940.05999999994</v>
      </c>
      <c r="K289" s="45">
        <v>602301.6</v>
      </c>
      <c r="L289" s="45">
        <v>604226.76</v>
      </c>
      <c r="M289" s="45">
        <v>530196.24</v>
      </c>
      <c r="O289" s="45">
        <f>SUM(B289:M289)</f>
        <v>7011353.379999999</v>
      </c>
      <c r="P289" s="45">
        <f>P13+P39+P65+P91+P113+P135+P157+P179+P201+P223+P245+P267</f>
        <v>43503932.379999995</v>
      </c>
      <c r="Q289" s="68"/>
      <c r="R289" s="66"/>
    </row>
    <row r="290" spans="1:18" ht="15.75" customHeight="1" x14ac:dyDescent="0.35">
      <c r="A290" s="44" t="s">
        <v>88</v>
      </c>
      <c r="B290" s="45">
        <v>99548.219999999987</v>
      </c>
      <c r="C290" s="45">
        <v>99987.770000000019</v>
      </c>
      <c r="D290" s="45">
        <v>86819.14</v>
      </c>
      <c r="E290" s="45">
        <v>95625.84</v>
      </c>
      <c r="F290" s="45">
        <v>96522.8</v>
      </c>
      <c r="G290" s="45">
        <v>98590.38</v>
      </c>
      <c r="H290" s="45">
        <v>95786.8</v>
      </c>
      <c r="I290" s="45">
        <v>102900.51</v>
      </c>
      <c r="J290" s="45">
        <v>103323.34</v>
      </c>
      <c r="K290" s="45">
        <v>100383.59999999999</v>
      </c>
      <c r="L290" s="45">
        <v>100704.45999999999</v>
      </c>
      <c r="M290" s="45">
        <v>88366.040000000023</v>
      </c>
      <c r="O290" s="45">
        <f>SUM(B290:M290)</f>
        <v>1168558.8999999999</v>
      </c>
      <c r="P290" s="45">
        <f>P14+P40+P66+P92+P114+P136+P158+P180+P202+P224+P246+P268</f>
        <v>6866730.8999999985</v>
      </c>
      <c r="Q290" s="68"/>
      <c r="R290" s="66"/>
    </row>
    <row r="291" spans="1:18" ht="15.75" customHeight="1" x14ac:dyDescent="0.35">
      <c r="A291" s="40" t="s">
        <v>104</v>
      </c>
      <c r="B291" s="41">
        <v>892.6</v>
      </c>
      <c r="C291" s="41">
        <v>893</v>
      </c>
      <c r="D291" s="41">
        <v>892</v>
      </c>
      <c r="E291" s="41">
        <v>888</v>
      </c>
      <c r="F291" s="41">
        <f>F269+F247+F225+F203+F181+F159+F137+F115+F93+F67+F41+F15</f>
        <v>896.16666666666674</v>
      </c>
      <c r="G291" s="41">
        <v>889.80000000000007</v>
      </c>
      <c r="H291" s="41">
        <v>922.19999999999993</v>
      </c>
      <c r="I291" s="41">
        <v>925</v>
      </c>
      <c r="J291" s="41">
        <v>930.5</v>
      </c>
      <c r="K291" s="41">
        <v>939.40000000000009</v>
      </c>
      <c r="L291" s="41">
        <v>943.00000000000011</v>
      </c>
      <c r="M291" s="41">
        <v>937.2</v>
      </c>
      <c r="O291" s="41"/>
      <c r="P291" s="41"/>
      <c r="Q291" s="68"/>
      <c r="R291" s="66"/>
    </row>
    <row r="292" spans="1:18" ht="15.75" customHeight="1" x14ac:dyDescent="0.35">
      <c r="A292" s="44" t="s">
        <v>97</v>
      </c>
      <c r="B292" s="45">
        <v>63299474.339999996</v>
      </c>
      <c r="C292" s="45">
        <v>63715095.599999994</v>
      </c>
      <c r="D292" s="45">
        <v>60865720.5</v>
      </c>
      <c r="E292" s="45">
        <v>62118161.629999988</v>
      </c>
      <c r="F292" s="45">
        <v>59990908.080000006</v>
      </c>
      <c r="G292" s="45">
        <v>66396843.099999994</v>
      </c>
      <c r="H292" s="45">
        <v>65402079.709999993</v>
      </c>
      <c r="I292" s="45">
        <v>61949836.939999998</v>
      </c>
      <c r="J292" s="45">
        <v>71701407.689999998</v>
      </c>
      <c r="K292" s="45">
        <v>66152265.960000001</v>
      </c>
      <c r="L292" s="45">
        <v>65020129.299999997</v>
      </c>
      <c r="M292" s="45">
        <v>62888138.659999996</v>
      </c>
      <c r="O292" s="45">
        <f>SUM(B292:M292)</f>
        <v>769500061.50999987</v>
      </c>
      <c r="P292" s="45">
        <f>P16+P42+P68+P94+P116+P138+P160+P182+P204+P226+P248+P270</f>
        <v>3849001997.5100002</v>
      </c>
      <c r="Q292" s="68"/>
      <c r="R292" s="66"/>
    </row>
    <row r="293" spans="1:18" ht="15.75" customHeight="1" x14ac:dyDescent="0.35">
      <c r="A293" s="44" t="s">
        <v>102</v>
      </c>
      <c r="B293" s="45">
        <v>7595936.8900000006</v>
      </c>
      <c r="C293" s="45">
        <v>7645811.4899999993</v>
      </c>
      <c r="D293" s="45">
        <v>7303886.4400000004</v>
      </c>
      <c r="E293" s="45">
        <v>7454179.3799999999</v>
      </c>
      <c r="F293" s="45">
        <v>7198908.96</v>
      </c>
      <c r="G293" s="45">
        <v>7967621.1600000001</v>
      </c>
      <c r="H293" s="45">
        <v>7848249.5600000005</v>
      </c>
      <c r="I293" s="45">
        <v>7433980.4400000004</v>
      </c>
      <c r="J293" s="45">
        <v>8604168.9100000001</v>
      </c>
      <c r="K293" s="45">
        <v>7938271.9099999992</v>
      </c>
      <c r="L293" s="45">
        <v>7802415.4999999991</v>
      </c>
      <c r="M293" s="45">
        <v>7546576.6400000015</v>
      </c>
      <c r="O293" s="45">
        <f>SUM(B293:M293)</f>
        <v>92340007.279999986</v>
      </c>
      <c r="P293" s="45">
        <f>P17+P43+P69+P95+P117+P139+P161+P183+P205+P227+P249+P271</f>
        <v>484894476.28000003</v>
      </c>
      <c r="Q293" s="68"/>
      <c r="R293" s="66"/>
    </row>
    <row r="294" spans="1:18" ht="15.75" customHeight="1" x14ac:dyDescent="0.35">
      <c r="A294" s="44" t="s">
        <v>88</v>
      </c>
      <c r="B294" s="45">
        <v>1265989.5899999999</v>
      </c>
      <c r="C294" s="45">
        <v>1274301.9999999998</v>
      </c>
      <c r="D294" s="45">
        <v>1217314.51</v>
      </c>
      <c r="E294" s="45">
        <v>1242363.2799999998</v>
      </c>
      <c r="F294" s="45">
        <v>1199818.25</v>
      </c>
      <c r="G294" s="45">
        <v>1327936.92</v>
      </c>
      <c r="H294" s="45">
        <v>1308041.6400000001</v>
      </c>
      <c r="I294" s="45">
        <v>1238996.79</v>
      </c>
      <c r="J294" s="45">
        <v>1434028.1799999997</v>
      </c>
      <c r="K294" s="45">
        <v>1323045.3899999999</v>
      </c>
      <c r="L294" s="45">
        <v>1300402.67</v>
      </c>
      <c r="M294" s="45">
        <v>1257762.8399999999</v>
      </c>
      <c r="O294" s="45">
        <f>SUM(B294:M294)</f>
        <v>15390002.060000001</v>
      </c>
      <c r="P294" s="45">
        <f>P18+P44+P70+P96+P118+P140+P162+P184+P206+P228+P250+P272</f>
        <v>76980048.060000002</v>
      </c>
      <c r="Q294" s="68"/>
      <c r="R294" s="66"/>
    </row>
    <row r="295" spans="1:18" ht="15.75" customHeight="1" x14ac:dyDescent="0.35">
      <c r="A295" s="40" t="s">
        <v>105</v>
      </c>
      <c r="B295" s="41">
        <v>0</v>
      </c>
      <c r="C295" s="41">
        <v>0</v>
      </c>
      <c r="D295" s="41">
        <v>0</v>
      </c>
      <c r="E295" s="41">
        <v>0</v>
      </c>
      <c r="F295" s="41">
        <v>0</v>
      </c>
      <c r="G295" s="41">
        <v>0</v>
      </c>
      <c r="H295" s="41">
        <v>0</v>
      </c>
      <c r="I295" s="41">
        <v>0</v>
      </c>
      <c r="J295" s="41">
        <v>0</v>
      </c>
      <c r="K295" s="41">
        <v>0</v>
      </c>
      <c r="L295" s="41">
        <v>0</v>
      </c>
      <c r="M295" s="41">
        <v>0</v>
      </c>
      <c r="O295" s="41"/>
      <c r="P295" s="41"/>
      <c r="Q295" s="68"/>
      <c r="R295" s="66"/>
    </row>
    <row r="296" spans="1:18" ht="15.75" customHeight="1" x14ac:dyDescent="0.35">
      <c r="A296" s="44" t="s">
        <v>97</v>
      </c>
      <c r="B296" s="45">
        <v>0</v>
      </c>
      <c r="C296" s="45">
        <v>0</v>
      </c>
      <c r="D296" s="45">
        <v>0</v>
      </c>
      <c r="E296" s="45">
        <v>0</v>
      </c>
      <c r="F296" s="45">
        <v>0</v>
      </c>
      <c r="G296" s="45">
        <v>0</v>
      </c>
      <c r="H296" s="45">
        <v>0</v>
      </c>
      <c r="I296" s="45">
        <v>0</v>
      </c>
      <c r="J296" s="45">
        <v>0</v>
      </c>
      <c r="K296" s="45">
        <v>0</v>
      </c>
      <c r="L296" s="45">
        <v>0</v>
      </c>
      <c r="M296" s="45">
        <v>0</v>
      </c>
      <c r="O296" s="45">
        <f>SUM(B296:M296)</f>
        <v>0</v>
      </c>
      <c r="P296" s="45">
        <f>P20+P46+P72+P98+P120+P142+P164+P186+P208+P230+P252+P274</f>
        <v>7833510</v>
      </c>
      <c r="Q296" s="68"/>
      <c r="R296" s="66"/>
    </row>
    <row r="297" spans="1:18" ht="15.75" customHeight="1" x14ac:dyDescent="0.35">
      <c r="A297" s="44" t="s">
        <v>102</v>
      </c>
      <c r="B297" s="45">
        <v>0</v>
      </c>
      <c r="C297" s="45">
        <v>0</v>
      </c>
      <c r="D297" s="45">
        <v>0</v>
      </c>
      <c r="E297" s="45">
        <v>0</v>
      </c>
      <c r="F297" s="45">
        <v>0</v>
      </c>
      <c r="G297" s="45">
        <v>0</v>
      </c>
      <c r="H297" s="45">
        <v>0</v>
      </c>
      <c r="I297" s="45">
        <v>0</v>
      </c>
      <c r="J297" s="45">
        <v>0</v>
      </c>
      <c r="K297" s="45">
        <v>0</v>
      </c>
      <c r="L297" s="45">
        <v>0</v>
      </c>
      <c r="M297" s="45">
        <v>0</v>
      </c>
      <c r="O297" s="45">
        <f>SUM(B297:M297)</f>
        <v>0</v>
      </c>
      <c r="P297" s="45">
        <f>P21+P47+P73+P99+P121+P143+P165+P187+P209+P231+P253+P275</f>
        <v>1095237</v>
      </c>
      <c r="Q297" s="68"/>
      <c r="R297" s="66"/>
    </row>
    <row r="298" spans="1:18" ht="15.75" customHeight="1" x14ac:dyDescent="0.35">
      <c r="A298" s="44" t="s">
        <v>88</v>
      </c>
      <c r="B298" s="45">
        <v>0</v>
      </c>
      <c r="C298" s="45">
        <v>0</v>
      </c>
      <c r="D298" s="45">
        <v>0</v>
      </c>
      <c r="E298" s="45">
        <v>0</v>
      </c>
      <c r="F298" s="45">
        <v>0</v>
      </c>
      <c r="G298" s="45">
        <v>0</v>
      </c>
      <c r="H298" s="45">
        <v>0</v>
      </c>
      <c r="I298" s="45">
        <v>0</v>
      </c>
      <c r="J298" s="45">
        <v>0</v>
      </c>
      <c r="K298" s="45">
        <v>0</v>
      </c>
      <c r="L298" s="45">
        <v>0</v>
      </c>
      <c r="M298" s="45">
        <v>0</v>
      </c>
      <c r="O298" s="45">
        <f>SUM(B298:M298)</f>
        <v>0</v>
      </c>
      <c r="P298" s="45">
        <f>P22+P48+P74+P100+P122+P144+P166+P188+P210+P232+P254+P276</f>
        <v>156670</v>
      </c>
      <c r="Q298" s="68"/>
      <c r="R298" s="66"/>
    </row>
    <row r="299" spans="1:18" ht="15.75" customHeight="1" x14ac:dyDescent="0.35">
      <c r="A299" s="40" t="s">
        <v>106</v>
      </c>
      <c r="B299" s="41">
        <f>B233+B145+B123+B101+B75+B49</f>
        <v>13</v>
      </c>
      <c r="C299" s="41">
        <f>C233+C145+C123+C101+C75+C49</f>
        <v>13</v>
      </c>
      <c r="D299" s="41">
        <v>18</v>
      </c>
      <c r="E299" s="41">
        <f>E233+E145+E123+E101+E75+E49</f>
        <v>12.799999999999999</v>
      </c>
      <c r="F299" s="41">
        <f>F233+F145+F123+F101+F75+F49</f>
        <v>9</v>
      </c>
      <c r="G299" s="41">
        <v>9</v>
      </c>
      <c r="H299" s="41">
        <v>9</v>
      </c>
      <c r="I299" s="41">
        <v>9</v>
      </c>
      <c r="J299" s="41">
        <v>9</v>
      </c>
      <c r="K299" s="41">
        <v>9</v>
      </c>
      <c r="L299" s="41">
        <v>9</v>
      </c>
      <c r="M299" s="41">
        <v>10</v>
      </c>
      <c r="O299" s="41"/>
      <c r="P299" s="41"/>
      <c r="Q299" s="68"/>
      <c r="R299" s="66"/>
    </row>
    <row r="300" spans="1:18" ht="15.75" customHeight="1" x14ac:dyDescent="0.35">
      <c r="A300" s="44" t="s">
        <v>97</v>
      </c>
      <c r="B300" s="45">
        <v>891025</v>
      </c>
      <c r="C300" s="45">
        <v>836664.5</v>
      </c>
      <c r="D300" s="45">
        <v>700143</v>
      </c>
      <c r="E300" s="45">
        <v>493224.5</v>
      </c>
      <c r="F300" s="45">
        <v>424880.5</v>
      </c>
      <c r="G300" s="45">
        <v>372977</v>
      </c>
      <c r="H300" s="45">
        <v>425940.5</v>
      </c>
      <c r="I300" s="45">
        <v>491119</v>
      </c>
      <c r="J300" s="45">
        <v>425682</v>
      </c>
      <c r="K300" s="45">
        <v>456817.5</v>
      </c>
      <c r="L300" s="45">
        <v>496484.5</v>
      </c>
      <c r="M300" s="45">
        <v>456857</v>
      </c>
      <c r="O300" s="45">
        <f>SUM(B300:M300)</f>
        <v>6471815</v>
      </c>
      <c r="P300" s="45">
        <f>P24+P50+P76+P102+P124+P146+P168+P190+P212+P234+P256+P278</f>
        <v>30513773</v>
      </c>
      <c r="Q300" s="68"/>
      <c r="R300" s="66"/>
    </row>
    <row r="301" spans="1:18" ht="15.75" customHeight="1" x14ac:dyDescent="0.35">
      <c r="A301" s="44" t="s">
        <v>102</v>
      </c>
      <c r="B301" s="45">
        <v>409871.50000000006</v>
      </c>
      <c r="C301" s="45">
        <v>384865.67</v>
      </c>
      <c r="D301" s="45">
        <v>322065.78000000003</v>
      </c>
      <c r="E301" s="45">
        <v>226883.27</v>
      </c>
      <c r="F301" s="45">
        <v>195445.02999999997</v>
      </c>
      <c r="G301" s="45">
        <v>171569.42</v>
      </c>
      <c r="H301" s="45">
        <v>195932.63</v>
      </c>
      <c r="I301" s="45">
        <v>225914.74000000002</v>
      </c>
      <c r="J301" s="45">
        <v>195813.71999999997</v>
      </c>
      <c r="K301" s="45">
        <v>210136.05</v>
      </c>
      <c r="L301" s="45">
        <v>228382.87</v>
      </c>
      <c r="M301" s="45">
        <v>210154.22</v>
      </c>
      <c r="O301" s="45">
        <f>SUM(B301:M301)</f>
        <v>2977034.9000000008</v>
      </c>
      <c r="P301" s="45">
        <f>P25+P51+P77+P103+P125+P147+P169+P191+P213+P235+P257+P279</f>
        <v>14120074.900000002</v>
      </c>
      <c r="Q301" s="68"/>
      <c r="R301" s="66"/>
    </row>
    <row r="302" spans="1:18" ht="15.75" customHeight="1" x14ac:dyDescent="0.35">
      <c r="A302" s="44" t="s">
        <v>88</v>
      </c>
      <c r="B302" s="45">
        <v>17820.5</v>
      </c>
      <c r="C302" s="45">
        <v>16733.29</v>
      </c>
      <c r="D302" s="45">
        <v>14002.860000000002</v>
      </c>
      <c r="E302" s="45">
        <v>9864.4900000000016</v>
      </c>
      <c r="F302" s="45">
        <v>8497.61</v>
      </c>
      <c r="G302" s="45">
        <v>7459.54</v>
      </c>
      <c r="H302" s="45">
        <v>8518.81</v>
      </c>
      <c r="I302" s="45">
        <v>9822.380000000001</v>
      </c>
      <c r="J302" s="45">
        <v>8513.64</v>
      </c>
      <c r="K302" s="45">
        <v>9136.3499999999985</v>
      </c>
      <c r="L302" s="45">
        <v>9929.69</v>
      </c>
      <c r="M302" s="45">
        <v>9137.1400000000012</v>
      </c>
      <c r="O302" s="45">
        <f>SUM(B302:M302)</f>
        <v>129436.3</v>
      </c>
      <c r="P302" s="45">
        <f>P26+P52+P78+P104+P126+P148+P170+P192+P214+P236+P258+P280</f>
        <v>610275.30000000005</v>
      </c>
      <c r="Q302" s="68"/>
      <c r="R302" s="66"/>
    </row>
    <row r="303" spans="1:18" ht="15.75" customHeight="1" x14ac:dyDescent="0.35">
      <c r="A303" s="69" t="s">
        <v>124</v>
      </c>
      <c r="B303" s="45"/>
      <c r="C303" s="41"/>
      <c r="D303" s="41">
        <v>6</v>
      </c>
      <c r="E303" s="41">
        <v>6.4</v>
      </c>
      <c r="F303" s="41">
        <v>10</v>
      </c>
      <c r="G303" s="41">
        <v>12</v>
      </c>
      <c r="H303" s="41">
        <v>12</v>
      </c>
      <c r="I303" s="41">
        <v>12</v>
      </c>
      <c r="J303" s="41">
        <v>12</v>
      </c>
      <c r="K303" s="41">
        <v>12</v>
      </c>
      <c r="L303" s="41">
        <v>12.5</v>
      </c>
      <c r="M303" s="41">
        <v>13</v>
      </c>
      <c r="O303" s="45"/>
      <c r="P303" s="45"/>
      <c r="Q303" s="67"/>
      <c r="R303" s="66"/>
    </row>
    <row r="304" spans="1:18" ht="15.75" customHeight="1" x14ac:dyDescent="0.35">
      <c r="A304" s="70" t="s">
        <v>97</v>
      </c>
      <c r="B304" s="45"/>
      <c r="C304" s="41"/>
      <c r="D304" s="45">
        <v>10051.5</v>
      </c>
      <c r="E304" s="45">
        <v>153984.38</v>
      </c>
      <c r="F304" s="45">
        <v>337767.56999999995</v>
      </c>
      <c r="G304" s="45">
        <v>524620.26</v>
      </c>
      <c r="H304" s="35">
        <v>475844.54</v>
      </c>
      <c r="I304" s="45">
        <v>601975.86</v>
      </c>
      <c r="J304" s="45">
        <v>620987.99</v>
      </c>
      <c r="K304" s="45">
        <v>578545.37</v>
      </c>
      <c r="L304" s="45">
        <v>790369.18</v>
      </c>
      <c r="M304" s="45">
        <v>683117.82000000007</v>
      </c>
      <c r="O304" s="45">
        <f>SUM(B304:M304)</f>
        <v>4777264.47</v>
      </c>
      <c r="P304" s="45">
        <f>P54+P80+P28</f>
        <v>4777264.47</v>
      </c>
      <c r="Q304" s="67"/>
      <c r="R304" s="66"/>
    </row>
    <row r="305" spans="1:18" ht="15.75" customHeight="1" x14ac:dyDescent="0.25">
      <c r="A305" s="70" t="s">
        <v>125</v>
      </c>
      <c r="B305" s="41"/>
      <c r="C305" s="41"/>
      <c r="D305" s="45">
        <v>1206.18</v>
      </c>
      <c r="E305" s="45">
        <v>18478.13</v>
      </c>
      <c r="F305" s="45">
        <v>40532.109999999993</v>
      </c>
      <c r="G305" s="45">
        <v>62954.429999999993</v>
      </c>
      <c r="H305" s="45">
        <v>57101.350000000006</v>
      </c>
      <c r="I305" s="45">
        <v>72237.09</v>
      </c>
      <c r="J305" s="45">
        <v>74518.559999999998</v>
      </c>
      <c r="K305" s="45">
        <v>69425.430000000008</v>
      </c>
      <c r="L305" s="45">
        <v>94844.3</v>
      </c>
      <c r="M305" s="45">
        <v>81974.13</v>
      </c>
      <c r="O305" s="45">
        <f>SUM(B305:M305)</f>
        <v>573271.71</v>
      </c>
      <c r="P305" s="45">
        <f>P55+P81+P29</f>
        <v>573271.77</v>
      </c>
      <c r="R305" s="66"/>
    </row>
    <row r="306" spans="1:18" ht="15.75" customHeight="1" x14ac:dyDescent="0.25">
      <c r="A306" s="70" t="s">
        <v>88</v>
      </c>
      <c r="B306" s="45"/>
      <c r="C306" s="41"/>
      <c r="D306" s="45">
        <v>201.03</v>
      </c>
      <c r="E306" s="45">
        <v>3079.6899999999996</v>
      </c>
      <c r="F306" s="45">
        <v>6755.3499999999995</v>
      </c>
      <c r="G306" s="45">
        <v>10492.410000000002</v>
      </c>
      <c r="H306" s="35">
        <v>9516.89</v>
      </c>
      <c r="I306" s="45">
        <v>12039.52</v>
      </c>
      <c r="J306" s="45">
        <v>12419.77</v>
      </c>
      <c r="K306" s="45">
        <v>11570.900000000001</v>
      </c>
      <c r="L306" s="45">
        <v>15807.380000000001</v>
      </c>
      <c r="M306" s="45">
        <v>13662.35</v>
      </c>
      <c r="O306" s="45">
        <f>SUM(B306:M306)</f>
        <v>95545.290000000008</v>
      </c>
      <c r="P306" s="45">
        <f>P56+P82+P30</f>
        <v>95545.32</v>
      </c>
      <c r="R306" s="66"/>
    </row>
    <row r="307" spans="1:18" ht="20.25" customHeight="1" x14ac:dyDescent="0.25">
      <c r="A307" s="40"/>
      <c r="B307" s="45"/>
      <c r="C307" s="41"/>
      <c r="D307" s="41"/>
      <c r="E307" s="41"/>
      <c r="F307" s="41"/>
      <c r="G307" s="45"/>
      <c r="I307" s="45"/>
      <c r="J307" s="45"/>
      <c r="K307" s="45"/>
      <c r="L307" s="45"/>
      <c r="M307" s="45"/>
      <c r="O307" s="45"/>
      <c r="P307" s="45"/>
    </row>
    <row r="308" spans="1:18" ht="20.25" customHeight="1" x14ac:dyDescent="0.25">
      <c r="A308" s="44"/>
      <c r="B308" s="45"/>
      <c r="C308" s="45"/>
      <c r="D308" s="45"/>
      <c r="E308" s="45"/>
      <c r="F308" s="45"/>
      <c r="G308" s="45"/>
      <c r="I308" s="45"/>
      <c r="J308" s="45"/>
      <c r="K308" s="45"/>
      <c r="L308" s="45"/>
      <c r="M308" s="45"/>
      <c r="O308" s="45"/>
      <c r="P308" s="45"/>
    </row>
    <row r="309" spans="1:18" ht="20.25" customHeight="1" x14ac:dyDescent="0.25">
      <c r="A309" s="44"/>
      <c r="B309" s="45"/>
      <c r="C309" s="45"/>
      <c r="D309" s="45"/>
      <c r="E309" s="45"/>
      <c r="F309" s="45"/>
      <c r="G309" s="45"/>
      <c r="I309" s="41"/>
      <c r="J309" s="41"/>
      <c r="K309" s="45"/>
      <c r="L309" s="45"/>
      <c r="M309" s="45"/>
      <c r="O309" s="45"/>
      <c r="P309" s="45"/>
    </row>
    <row r="310" spans="1:18" ht="20.25" customHeight="1" x14ac:dyDescent="0.25">
      <c r="A310" s="44"/>
      <c r="B310" s="45"/>
      <c r="C310" s="45"/>
      <c r="D310" s="45"/>
      <c r="E310" s="45"/>
      <c r="F310" s="45"/>
      <c r="G310" s="45"/>
      <c r="I310" s="45"/>
      <c r="J310" s="45"/>
      <c r="K310" s="41"/>
      <c r="L310" s="41"/>
      <c r="M310" s="45"/>
      <c r="O310" s="45"/>
      <c r="P310" s="45"/>
    </row>
    <row r="311" spans="1:18" ht="20.25" customHeight="1" x14ac:dyDescent="0.25">
      <c r="A311" s="40"/>
      <c r="B311" s="45"/>
      <c r="C311" s="45"/>
      <c r="D311" s="45"/>
      <c r="E311" s="45"/>
      <c r="F311" s="45"/>
      <c r="G311" s="45"/>
      <c r="I311" s="45"/>
      <c r="J311" s="45"/>
      <c r="K311" s="45"/>
      <c r="L311" s="45"/>
      <c r="M311" s="45"/>
      <c r="O311" s="45"/>
      <c r="P311" s="45"/>
    </row>
    <row r="312" spans="1:18" ht="20.25" customHeight="1" x14ac:dyDescent="0.25">
      <c r="A312" s="44"/>
      <c r="B312" s="45"/>
      <c r="C312" s="45"/>
      <c r="D312" s="45"/>
      <c r="E312" s="45"/>
      <c r="F312" s="45"/>
      <c r="G312" s="45"/>
      <c r="I312" s="45"/>
      <c r="J312" s="45"/>
      <c r="K312" s="45"/>
      <c r="L312" s="45"/>
      <c r="M312" s="45"/>
      <c r="O312" s="45"/>
      <c r="P312" s="45"/>
    </row>
    <row r="313" spans="1:18" ht="20.25" customHeight="1" x14ac:dyDescent="0.25">
      <c r="A313" s="44"/>
      <c r="B313" s="45"/>
      <c r="C313" s="45"/>
      <c r="D313" s="45"/>
      <c r="E313" s="45"/>
      <c r="F313" s="45"/>
      <c r="G313" s="45"/>
      <c r="I313" s="35"/>
      <c r="K313" s="45"/>
      <c r="L313" s="45"/>
      <c r="M313" s="45"/>
      <c r="O313" s="45"/>
      <c r="P313" s="45"/>
    </row>
    <row r="314" spans="1:18" ht="20.25" customHeight="1" x14ac:dyDescent="0.25">
      <c r="A314" s="44"/>
      <c r="B314" s="45"/>
      <c r="C314" s="45"/>
      <c r="D314" s="45"/>
      <c r="E314" s="45"/>
      <c r="F314" s="45"/>
      <c r="G314" s="45"/>
      <c r="I314" s="35"/>
      <c r="M314" s="45"/>
      <c r="O314" s="45"/>
      <c r="P314" s="45"/>
    </row>
    <row r="315" spans="1:18" ht="20.25" customHeight="1" x14ac:dyDescent="0.25">
      <c r="A315" s="40"/>
      <c r="I315" s="35"/>
      <c r="M315" s="45"/>
    </row>
    <row r="316" spans="1:18" ht="20.25" customHeight="1" x14ac:dyDescent="0.25">
      <c r="A316" s="44"/>
      <c r="B316" s="45"/>
      <c r="C316" s="45"/>
      <c r="D316" s="45"/>
      <c r="E316" s="45"/>
      <c r="F316" s="45"/>
      <c r="G316" s="45"/>
      <c r="H316" s="66"/>
      <c r="I316" s="35"/>
      <c r="M316" s="45"/>
      <c r="O316" s="45"/>
      <c r="P316" s="45"/>
    </row>
    <row r="317" spans="1:18" ht="20.25" customHeight="1" x14ac:dyDescent="0.25">
      <c r="A317" s="44"/>
      <c r="B317" s="45"/>
      <c r="C317" s="45"/>
      <c r="D317" s="45"/>
      <c r="E317" s="45"/>
      <c r="F317" s="45"/>
      <c r="G317" s="45"/>
      <c r="I317" s="35"/>
      <c r="M317" s="45"/>
      <c r="O317" s="45"/>
      <c r="P317" s="45"/>
    </row>
    <row r="318" spans="1:18" ht="20.25" customHeight="1" x14ac:dyDescent="0.25">
      <c r="A318" s="44"/>
      <c r="B318" s="45"/>
      <c r="C318" s="45"/>
      <c r="D318" s="45"/>
      <c r="E318" s="45"/>
      <c r="F318" s="45"/>
      <c r="G318" s="45"/>
      <c r="I318" s="35"/>
      <c r="M318" s="45"/>
      <c r="O318" s="45"/>
      <c r="P318" s="45"/>
    </row>
    <row r="319" spans="1:18" ht="20.25" customHeight="1" x14ac:dyDescent="0.25">
      <c r="A319" s="40"/>
      <c r="I319" s="35"/>
      <c r="M319" s="45"/>
    </row>
    <row r="320" spans="1:18" ht="20.25" customHeight="1" x14ac:dyDescent="0.25">
      <c r="A320" s="44"/>
      <c r="B320" s="45"/>
      <c r="C320" s="45"/>
      <c r="D320" s="45"/>
      <c r="E320" s="45"/>
      <c r="F320" s="45"/>
      <c r="G320" s="45"/>
      <c r="I320" s="35"/>
      <c r="M320" s="45"/>
      <c r="O320" s="45"/>
      <c r="P320" s="45"/>
    </row>
    <row r="321" spans="1:16" ht="20.25" customHeight="1" x14ac:dyDescent="0.25">
      <c r="A321" s="44"/>
      <c r="B321" s="45"/>
      <c r="C321" s="45"/>
      <c r="D321" s="45"/>
      <c r="E321" s="45"/>
      <c r="F321" s="45"/>
      <c r="G321" s="45"/>
      <c r="I321" s="35"/>
      <c r="M321" s="45"/>
      <c r="O321" s="45"/>
      <c r="P321" s="45"/>
    </row>
    <row r="322" spans="1:16" ht="20.25" customHeight="1" x14ac:dyDescent="0.25">
      <c r="A322" s="44"/>
      <c r="B322" s="45"/>
      <c r="C322" s="45"/>
      <c r="D322" s="45"/>
      <c r="E322" s="45"/>
      <c r="F322" s="45"/>
      <c r="G322" s="45"/>
      <c r="I322" s="35"/>
      <c r="M322" s="45"/>
      <c r="O322" s="45"/>
      <c r="P322" s="45"/>
    </row>
    <row r="323" spans="1:16" ht="20.25" customHeight="1" x14ac:dyDescent="0.25">
      <c r="A323" s="40"/>
      <c r="I323" s="35"/>
      <c r="M323" s="45"/>
    </row>
    <row r="324" spans="1:16" ht="20.25" customHeight="1" x14ac:dyDescent="0.25">
      <c r="A324" s="44"/>
      <c r="B324" s="45"/>
      <c r="C324" s="45"/>
      <c r="D324" s="45"/>
      <c r="E324" s="45"/>
      <c r="F324" s="45"/>
      <c r="G324" s="45"/>
      <c r="I324" s="35"/>
      <c r="M324" s="45"/>
      <c r="O324" s="45"/>
      <c r="P324" s="45"/>
    </row>
    <row r="325" spans="1:16" ht="20.25" customHeight="1" x14ac:dyDescent="0.25">
      <c r="A325" s="44"/>
      <c r="B325" s="45"/>
      <c r="C325" s="45"/>
      <c r="D325" s="45"/>
      <c r="E325" s="45"/>
      <c r="F325" s="45"/>
      <c r="G325" s="45"/>
      <c r="I325" s="35"/>
      <c r="M325" s="45"/>
      <c r="O325" s="45"/>
      <c r="P325" s="45"/>
    </row>
    <row r="326" spans="1:16" ht="20.25" customHeight="1" x14ac:dyDescent="0.25">
      <c r="A326" s="44"/>
      <c r="B326" s="45"/>
      <c r="C326" s="45"/>
      <c r="D326" s="45"/>
      <c r="E326" s="45"/>
      <c r="F326" s="45"/>
      <c r="G326" s="45"/>
      <c r="I326" s="35"/>
      <c r="M326" s="45"/>
      <c r="O326" s="45"/>
      <c r="P326" s="45"/>
    </row>
    <row r="327" spans="1:16" ht="20.25" customHeight="1" x14ac:dyDescent="0.25">
      <c r="A327" s="69"/>
      <c r="I327" s="35"/>
      <c r="M327" s="45"/>
    </row>
    <row r="328" spans="1:16" ht="20.25" customHeight="1" x14ac:dyDescent="0.25">
      <c r="A328" s="70"/>
      <c r="B328" s="45"/>
      <c r="C328" s="45"/>
      <c r="D328" s="45"/>
      <c r="E328" s="45"/>
      <c r="F328" s="45"/>
      <c r="G328" s="45"/>
      <c r="I328" s="35"/>
      <c r="M328" s="45"/>
      <c r="O328" s="45"/>
      <c r="P328" s="45"/>
    </row>
    <row r="329" spans="1:16" ht="20.25" customHeight="1" x14ac:dyDescent="0.25">
      <c r="A329" s="70"/>
      <c r="B329" s="45"/>
      <c r="C329" s="45"/>
      <c r="D329" s="45"/>
      <c r="E329" s="45"/>
      <c r="F329" s="45"/>
      <c r="G329" s="45"/>
      <c r="I329" s="35"/>
      <c r="M329" s="45"/>
      <c r="O329" s="45"/>
      <c r="P329" s="45"/>
    </row>
    <row r="330" spans="1:16" ht="20.25" customHeight="1" x14ac:dyDescent="0.25">
      <c r="A330" s="70"/>
      <c r="B330" s="45"/>
      <c r="C330" s="45"/>
      <c r="D330" s="45"/>
      <c r="E330" s="45"/>
      <c r="F330" s="45"/>
      <c r="G330" s="45"/>
      <c r="H330" s="39"/>
      <c r="I330" s="39"/>
      <c r="J330" s="39"/>
      <c r="M330" s="45"/>
      <c r="O330" s="45"/>
      <c r="P330" s="45"/>
    </row>
    <row r="331" spans="1:16" ht="20.25" customHeight="1" x14ac:dyDescent="0.25">
      <c r="B331" s="41"/>
      <c r="E331" s="45"/>
      <c r="F331" s="62"/>
      <c r="H331" s="41"/>
      <c r="I331" s="41"/>
      <c r="J331" s="41"/>
    </row>
    <row r="332" spans="1:16" ht="20.25" customHeight="1" x14ac:dyDescent="0.25">
      <c r="B332" s="45"/>
      <c r="F332" s="62"/>
      <c r="H332" s="45"/>
      <c r="I332" s="45"/>
      <c r="J332" s="45"/>
    </row>
    <row r="333" spans="1:16" ht="20.25" customHeight="1" x14ac:dyDescent="0.25">
      <c r="B333" s="45"/>
      <c r="C333" s="45"/>
      <c r="D333" s="45"/>
      <c r="E333" s="45"/>
      <c r="F333" s="45"/>
      <c r="G333" s="45"/>
      <c r="H333" s="45"/>
      <c r="I333" s="45"/>
      <c r="J333" s="45"/>
      <c r="O333" s="45"/>
    </row>
    <row r="334" spans="1:16" ht="20.25" customHeight="1" x14ac:dyDescent="0.25">
      <c r="B334" s="45"/>
      <c r="C334" s="45"/>
      <c r="D334" s="45"/>
      <c r="E334" s="45"/>
      <c r="F334" s="45"/>
      <c r="G334" s="45"/>
      <c r="H334" s="45"/>
      <c r="I334" s="45"/>
      <c r="J334" s="45"/>
      <c r="O334" s="45"/>
    </row>
    <row r="335" spans="1:16" ht="20.25" customHeight="1" x14ac:dyDescent="0.25">
      <c r="B335" s="66"/>
      <c r="C335" s="66"/>
      <c r="D335" s="66"/>
      <c r="E335" s="66"/>
      <c r="F335" s="66"/>
      <c r="G335" s="45"/>
      <c r="H335" s="41"/>
      <c r="I335" s="41"/>
      <c r="J335" s="41"/>
      <c r="O335" s="66"/>
    </row>
    <row r="336" spans="1:16" ht="20.25" customHeight="1" x14ac:dyDescent="0.25">
      <c r="F336" s="62"/>
      <c r="H336" s="45"/>
      <c r="I336" s="45"/>
      <c r="J336" s="45"/>
    </row>
    <row r="337" spans="2:10" ht="20.25" customHeight="1" x14ac:dyDescent="0.25">
      <c r="B337" s="45"/>
      <c r="C337" s="45"/>
      <c r="D337" s="45"/>
      <c r="E337" s="45"/>
      <c r="F337" s="45"/>
      <c r="G337" s="45"/>
      <c r="H337" s="45"/>
      <c r="I337" s="45"/>
      <c r="J337" s="45"/>
    </row>
    <row r="338" spans="2:10" ht="20.25" customHeight="1" x14ac:dyDescent="0.25">
      <c r="B338" s="45"/>
      <c r="C338" s="45"/>
      <c r="D338" s="45"/>
      <c r="E338" s="45"/>
      <c r="F338" s="45"/>
      <c r="G338" s="45"/>
      <c r="H338" s="45"/>
      <c r="I338" s="45"/>
      <c r="J338" s="45"/>
    </row>
    <row r="339" spans="2:10" ht="20.25" customHeight="1" x14ac:dyDescent="0.25">
      <c r="B339" s="45"/>
      <c r="C339" s="45"/>
      <c r="D339" s="45"/>
      <c r="E339" s="45"/>
      <c r="F339" s="45"/>
      <c r="G339" s="45"/>
      <c r="H339" s="41"/>
      <c r="I339" s="41"/>
      <c r="J339" s="41"/>
    </row>
    <row r="340" spans="2:10" ht="20.25" customHeight="1" x14ac:dyDescent="0.25">
      <c r="F340" s="62"/>
      <c r="H340" s="45"/>
      <c r="I340" s="45"/>
      <c r="J340" s="45"/>
    </row>
    <row r="341" spans="2:10" ht="20.25" customHeight="1" x14ac:dyDescent="0.25">
      <c r="B341" s="45"/>
      <c r="C341" s="45"/>
      <c r="D341" s="45"/>
      <c r="E341" s="45"/>
      <c r="F341" s="45"/>
      <c r="G341" s="45"/>
      <c r="H341" s="45"/>
      <c r="I341" s="45"/>
      <c r="J341" s="45"/>
    </row>
    <row r="342" spans="2:10" ht="20.25" customHeight="1" x14ac:dyDescent="0.25">
      <c r="B342" s="45"/>
      <c r="C342" s="45"/>
      <c r="D342" s="45"/>
      <c r="E342" s="45"/>
      <c r="F342" s="45"/>
      <c r="G342" s="45"/>
      <c r="H342" s="45"/>
      <c r="I342" s="45"/>
      <c r="J342" s="45"/>
    </row>
    <row r="343" spans="2:10" ht="20.25" customHeight="1" x14ac:dyDescent="0.25">
      <c r="B343" s="45"/>
      <c r="C343" s="45"/>
      <c r="D343" s="45"/>
      <c r="E343" s="45"/>
      <c r="F343" s="45"/>
      <c r="G343" s="45"/>
      <c r="H343" s="41"/>
      <c r="I343" s="41"/>
      <c r="J343" s="41"/>
    </row>
    <row r="344" spans="2:10" ht="20.25" customHeight="1" x14ac:dyDescent="0.25">
      <c r="F344" s="62"/>
      <c r="H344" s="45"/>
      <c r="I344" s="45"/>
      <c r="J344" s="45"/>
    </row>
    <row r="345" spans="2:10" ht="20.25" customHeight="1" x14ac:dyDescent="0.25">
      <c r="B345" s="45"/>
      <c r="C345" s="45"/>
      <c r="D345" s="45"/>
      <c r="E345" s="45"/>
      <c r="F345" s="45"/>
      <c r="G345" s="45"/>
      <c r="H345" s="45"/>
      <c r="I345" s="45"/>
      <c r="J345" s="45"/>
    </row>
    <row r="346" spans="2:10" ht="20.25" customHeight="1" x14ac:dyDescent="0.25">
      <c r="B346" s="45"/>
      <c r="C346" s="45"/>
      <c r="D346" s="45"/>
      <c r="E346" s="45"/>
      <c r="F346" s="45"/>
      <c r="G346" s="45"/>
      <c r="H346" s="45"/>
      <c r="I346" s="45"/>
      <c r="J346" s="45"/>
    </row>
    <row r="347" spans="2:10" ht="20.25" customHeight="1" x14ac:dyDescent="0.25">
      <c r="B347" s="45"/>
      <c r="C347" s="45"/>
      <c r="D347" s="45"/>
      <c r="E347" s="45"/>
      <c r="F347" s="45"/>
      <c r="G347" s="45"/>
      <c r="H347" s="41"/>
      <c r="I347" s="41"/>
      <c r="J347" s="41"/>
    </row>
    <row r="348" spans="2:10" ht="20.25" customHeight="1" x14ac:dyDescent="0.25">
      <c r="F348" s="62"/>
      <c r="H348" s="45"/>
      <c r="I348" s="45"/>
      <c r="J348" s="45"/>
    </row>
    <row r="349" spans="2:10" ht="20.25" customHeight="1" x14ac:dyDescent="0.25">
      <c r="B349" s="45"/>
      <c r="C349" s="45"/>
      <c r="D349" s="45"/>
      <c r="E349" s="45"/>
      <c r="F349" s="45"/>
      <c r="G349" s="45"/>
    </row>
    <row r="350" spans="2:10" ht="20.25" customHeight="1" x14ac:dyDescent="0.25">
      <c r="B350" s="45"/>
      <c r="C350" s="45"/>
      <c r="D350" s="45"/>
      <c r="E350" s="45"/>
      <c r="F350" s="45"/>
      <c r="G350" s="45"/>
    </row>
    <row r="351" spans="2:10" ht="20.25" customHeight="1" x14ac:dyDescent="0.25">
      <c r="B351" s="45"/>
      <c r="C351" s="45"/>
      <c r="D351" s="45"/>
      <c r="E351" s="45"/>
      <c r="F351" s="45"/>
      <c r="G351" s="45"/>
    </row>
    <row r="352" spans="2:10" ht="20.25" customHeight="1" x14ac:dyDescent="0.25">
      <c r="F352" s="62"/>
    </row>
    <row r="353" spans="6:6" s="35" customFormat="1" ht="20.25" customHeight="1" x14ac:dyDescent="0.25">
      <c r="F353" s="62"/>
    </row>
    <row r="354" spans="6:6" s="35" customFormat="1" ht="20.25" customHeight="1" x14ac:dyDescent="0.25">
      <c r="F354" s="62"/>
    </row>
    <row r="355" spans="6:6" s="35" customFormat="1" ht="20.25" customHeight="1" x14ac:dyDescent="0.25">
      <c r="F355" s="62"/>
    </row>
    <row r="356" spans="6:6" s="35" customFormat="1" ht="20.25" customHeight="1" x14ac:dyDescent="0.25">
      <c r="F356" s="62"/>
    </row>
    <row r="357" spans="6:6" s="35" customFormat="1" ht="20.25" customHeight="1" x14ac:dyDescent="0.25">
      <c r="F357" s="62"/>
    </row>
    <row r="358" spans="6:6" s="35" customFormat="1" ht="20.25" customHeight="1" x14ac:dyDescent="0.25">
      <c r="F358" s="62"/>
    </row>
    <row r="359" spans="6:6" s="35" customFormat="1" ht="20.25" customHeight="1" x14ac:dyDescent="0.25">
      <c r="F359" s="62"/>
    </row>
    <row r="360" spans="6:6" s="35" customFormat="1" ht="20.25" customHeight="1" x14ac:dyDescent="0.25">
      <c r="F360" s="62"/>
    </row>
    <row r="361" spans="6:6" s="35" customFormat="1" ht="20.25" customHeight="1" x14ac:dyDescent="0.25">
      <c r="F361" s="62"/>
    </row>
    <row r="362" spans="6:6" s="35" customFormat="1" ht="20.25" customHeight="1" x14ac:dyDescent="0.25">
      <c r="F362" s="62"/>
    </row>
    <row r="363" spans="6:6" s="35" customFormat="1" ht="20.25" customHeight="1" x14ac:dyDescent="0.25">
      <c r="F363" s="62"/>
    </row>
    <row r="364" spans="6:6" s="35" customFormat="1" ht="20.25" customHeight="1" x14ac:dyDescent="0.25">
      <c r="F364" s="62"/>
    </row>
    <row r="365" spans="6:6" s="35" customFormat="1" ht="20.25" customHeight="1" x14ac:dyDescent="0.25">
      <c r="F365" s="62"/>
    </row>
    <row r="366" spans="6:6" s="35" customFormat="1" ht="20.25" customHeight="1" x14ac:dyDescent="0.25">
      <c r="F366" s="62"/>
    </row>
    <row r="367" spans="6:6" s="35" customFormat="1" ht="20.25" customHeight="1" x14ac:dyDescent="0.25">
      <c r="F367" s="62"/>
    </row>
    <row r="368" spans="6:6" s="35" customFormat="1" ht="20.25" customHeight="1" x14ac:dyDescent="0.25">
      <c r="F368" s="62"/>
    </row>
    <row r="369" spans="6:6" s="35" customFormat="1" ht="20.25" customHeight="1" x14ac:dyDescent="0.25">
      <c r="F369" s="62"/>
    </row>
    <row r="370" spans="6:6" s="35" customFormat="1" ht="20.25" customHeight="1" x14ac:dyDescent="0.25">
      <c r="F370" s="62"/>
    </row>
    <row r="371" spans="6:6" s="35" customFormat="1" ht="20.25" customHeight="1" x14ac:dyDescent="0.25">
      <c r="F371" s="62"/>
    </row>
    <row r="372" spans="6:6" s="35" customFormat="1" ht="20.25" customHeight="1" x14ac:dyDescent="0.25">
      <c r="F372" s="62"/>
    </row>
    <row r="373" spans="6:6" s="35" customFormat="1" ht="20.25" customHeight="1" x14ac:dyDescent="0.25">
      <c r="F373" s="62"/>
    </row>
    <row r="374" spans="6:6" s="35" customFormat="1" ht="20.25" customHeight="1" x14ac:dyDescent="0.25">
      <c r="F374" s="62"/>
    </row>
    <row r="375" spans="6:6" s="35" customFormat="1" x14ac:dyDescent="0.25">
      <c r="F375" s="62"/>
    </row>
    <row r="376" spans="6:6" s="35" customFormat="1" x14ac:dyDescent="0.25">
      <c r="F376" s="62"/>
    </row>
    <row r="377" spans="6:6" s="35" customFormat="1" x14ac:dyDescent="0.25">
      <c r="F377" s="62"/>
    </row>
    <row r="378" spans="6:6" s="35" customFormat="1" x14ac:dyDescent="0.25">
      <c r="F378" s="62"/>
    </row>
    <row r="379" spans="6:6" s="35" customFormat="1" x14ac:dyDescent="0.25">
      <c r="F379" s="62"/>
    </row>
    <row r="380" spans="6:6" s="35" customFormat="1" x14ac:dyDescent="0.25">
      <c r="F380" s="62"/>
    </row>
    <row r="381" spans="6:6" s="35" customFormat="1" x14ac:dyDescent="0.25">
      <c r="F381" s="62"/>
    </row>
    <row r="382" spans="6:6" s="35" customFormat="1" x14ac:dyDescent="0.25">
      <c r="F382" s="62"/>
    </row>
    <row r="383" spans="6:6" s="35" customFormat="1" x14ac:dyDescent="0.25">
      <c r="F383" s="62"/>
    </row>
    <row r="384" spans="6:6" s="35" customFormat="1" x14ac:dyDescent="0.25">
      <c r="F384" s="62"/>
    </row>
    <row r="385" spans="6:6" s="35" customFormat="1" x14ac:dyDescent="0.25">
      <c r="F385" s="62"/>
    </row>
    <row r="386" spans="6:6" s="35" customFormat="1" x14ac:dyDescent="0.25">
      <c r="F386" s="62"/>
    </row>
    <row r="387" spans="6:6" s="35" customFormat="1" x14ac:dyDescent="0.25">
      <c r="F387" s="62"/>
    </row>
    <row r="388" spans="6:6" s="35" customFormat="1" x14ac:dyDescent="0.25">
      <c r="F388" s="62"/>
    </row>
    <row r="389" spans="6:6" s="35" customFormat="1" x14ac:dyDescent="0.25">
      <c r="F389" s="62"/>
    </row>
    <row r="390" spans="6:6" s="35" customFormat="1" x14ac:dyDescent="0.25">
      <c r="F390" s="62"/>
    </row>
    <row r="391" spans="6:6" s="35" customFormat="1" x14ac:dyDescent="0.25">
      <c r="F391" s="62"/>
    </row>
    <row r="392" spans="6:6" s="35" customFormat="1" x14ac:dyDescent="0.25">
      <c r="F392" s="62"/>
    </row>
    <row r="393" spans="6:6" s="35" customFormat="1" x14ac:dyDescent="0.25">
      <c r="F393" s="62"/>
    </row>
    <row r="394" spans="6:6" s="35" customFormat="1" x14ac:dyDescent="0.25">
      <c r="F394" s="62"/>
    </row>
    <row r="395" spans="6:6" s="35" customFormat="1" x14ac:dyDescent="0.25">
      <c r="F395" s="62"/>
    </row>
    <row r="396" spans="6:6" s="35" customFormat="1" x14ac:dyDescent="0.25">
      <c r="F396" s="62"/>
    </row>
    <row r="397" spans="6:6" s="35" customFormat="1" x14ac:dyDescent="0.25">
      <c r="F397" s="62"/>
    </row>
    <row r="398" spans="6:6" s="35" customFormat="1" x14ac:dyDescent="0.25">
      <c r="F398" s="62"/>
    </row>
    <row r="399" spans="6:6" s="35" customFormat="1" x14ac:dyDescent="0.25">
      <c r="F399" s="62"/>
    </row>
    <row r="400" spans="6:6" s="35" customFormat="1" x14ac:dyDescent="0.25">
      <c r="F400" s="62"/>
    </row>
    <row r="401" spans="6:6" s="35" customFormat="1" x14ac:dyDescent="0.25">
      <c r="F401" s="62"/>
    </row>
    <row r="402" spans="6:6" s="35" customFormat="1" x14ac:dyDescent="0.25">
      <c r="F402" s="62"/>
    </row>
    <row r="403" spans="6:6" s="35" customFormat="1" x14ac:dyDescent="0.25">
      <c r="F403" s="62"/>
    </row>
    <row r="404" spans="6:6" s="35" customFormat="1" x14ac:dyDescent="0.25">
      <c r="F404" s="62"/>
    </row>
    <row r="405" spans="6:6" s="35" customFormat="1" x14ac:dyDescent="0.25">
      <c r="F405" s="62"/>
    </row>
    <row r="406" spans="6:6" s="35" customFormat="1" x14ac:dyDescent="0.25">
      <c r="F406" s="62"/>
    </row>
    <row r="407" spans="6:6" s="35" customFormat="1" x14ac:dyDescent="0.25">
      <c r="F407" s="62"/>
    </row>
    <row r="408" spans="6:6" s="35" customFormat="1" x14ac:dyDescent="0.25">
      <c r="F408" s="62"/>
    </row>
  </sheetData>
  <mergeCells count="2">
    <mergeCell ref="A3:G3"/>
    <mergeCell ref="H3:N3"/>
  </mergeCells>
  <phoneticPr fontId="4" type="noConversion"/>
  <pageMargins left="0.38" right="0.25" top="0.5" bottom="0.49" header="0.5" footer="0.5"/>
  <pageSetup scale="56" orientation="landscape" r:id="rId1"/>
  <headerFooter alignWithMargins="0"/>
  <rowBreaks count="6" manualBreakCount="6">
    <brk id="56" max="16383" man="1"/>
    <brk id="104" max="16383" man="1"/>
    <brk id="148" max="15" man="1"/>
    <brk id="192" max="15" man="1"/>
    <brk id="236" max="15" man="1"/>
    <brk id="280" max="15" man="1"/>
  </rowBreaks>
  <colBreaks count="1" manualBreakCount="1">
    <brk id="7" max="1048575" man="1"/>
  </col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opLeftCell="A3" workbookViewId="0">
      <selection activeCell="I24" sqref="I24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8.140625" bestFit="1" customWidth="1"/>
    <col min="9" max="9" width="17" bestFit="1" customWidth="1"/>
  </cols>
  <sheetData>
    <row r="1" spans="1:8" ht="63" customHeight="1" x14ac:dyDescent="0.2">
      <c r="A1" s="83"/>
      <c r="B1" s="83"/>
      <c r="C1" s="83"/>
      <c r="D1" s="83"/>
      <c r="E1" s="83"/>
      <c r="F1" s="83"/>
      <c r="G1" s="83"/>
      <c r="H1" s="83"/>
    </row>
    <row r="2" spans="1:8" ht="18" x14ac:dyDescent="0.25">
      <c r="A2" s="77" t="s">
        <v>22</v>
      </c>
      <c r="B2" s="78"/>
      <c r="C2" s="78"/>
      <c r="D2" s="78"/>
      <c r="E2" s="78"/>
      <c r="F2" s="78"/>
      <c r="G2" s="78"/>
      <c r="H2" s="78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78</v>
      </c>
      <c r="E4" s="10"/>
      <c r="F4" s="16" t="s">
        <v>84</v>
      </c>
      <c r="G4" s="10"/>
      <c r="H4" s="16" t="s">
        <v>28</v>
      </c>
    </row>
    <row r="5" spans="1:8" x14ac:dyDescent="0.2">
      <c r="A5" s="9"/>
      <c r="B5" s="11" t="s">
        <v>83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41738466.75</v>
      </c>
      <c r="C8" s="13"/>
      <c r="D8" s="13">
        <v>197560025.89999995</v>
      </c>
      <c r="E8" s="13"/>
      <c r="F8" s="13">
        <v>32465193.669999998</v>
      </c>
      <c r="G8" s="13"/>
      <c r="H8" s="13">
        <v>1134176491.1200001</v>
      </c>
    </row>
    <row r="9" spans="1:8" x14ac:dyDescent="0.2">
      <c r="A9" t="s">
        <v>2</v>
      </c>
      <c r="B9" s="13">
        <v>38051577.060000002</v>
      </c>
      <c r="C9" s="13"/>
      <c r="D9" s="13">
        <v>180185942.24000004</v>
      </c>
      <c r="E9" s="13"/>
      <c r="F9" s="13">
        <v>29596070.810000002</v>
      </c>
      <c r="G9" s="13"/>
      <c r="H9" s="13">
        <v>1028724013.1500001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f>B8-B9</f>
        <v>3686889.6899999976</v>
      </c>
      <c r="C12" s="13"/>
      <c r="D12" s="13">
        <v>17374083.659999996</v>
      </c>
      <c r="E12" s="13"/>
      <c r="F12" s="13">
        <v>2869122.86</v>
      </c>
      <c r="G12" s="13"/>
      <c r="H12" s="13">
        <v>105645220</v>
      </c>
    </row>
    <row r="13" spans="1:8" x14ac:dyDescent="0.2">
      <c r="A13" t="s">
        <v>25</v>
      </c>
      <c r="B13" s="13">
        <f>B12*0.55</f>
        <v>2027789.3294999988</v>
      </c>
      <c r="C13" s="13"/>
      <c r="D13" s="13">
        <f>D12*0.55</f>
        <v>9555746.0129999984</v>
      </c>
      <c r="E13" s="13"/>
      <c r="F13" s="13">
        <f>F12*0.55</f>
        <v>1578017.5730000001</v>
      </c>
      <c r="G13" s="13"/>
      <c r="H13" s="13">
        <f>H12*0.55</f>
        <v>58104871.000000007</v>
      </c>
    </row>
    <row r="14" spans="1:8" x14ac:dyDescent="0.2">
      <c r="A14" t="s">
        <v>32</v>
      </c>
      <c r="B14" s="13">
        <f>B12*0.45</f>
        <v>1659100.360499999</v>
      </c>
      <c r="C14" s="13"/>
      <c r="D14" s="13">
        <f>D12*0.45</f>
        <v>7818337.6469999989</v>
      </c>
      <c r="E14" s="13"/>
      <c r="F14" s="13">
        <f>F12*0.45</f>
        <v>1291105.287</v>
      </c>
      <c r="G14" s="13"/>
      <c r="H14" s="13">
        <f>H12*0.45</f>
        <v>47540349</v>
      </c>
    </row>
    <row r="15" spans="1:8" x14ac:dyDescent="0.2">
      <c r="A15" t="s">
        <v>5</v>
      </c>
      <c r="B15" s="28">
        <v>1203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75418831.709999993</v>
      </c>
      <c r="C19" s="13"/>
      <c r="D19" s="13">
        <v>323815005.55999994</v>
      </c>
      <c r="E19" s="13"/>
      <c r="F19" s="13">
        <v>59680509.079999998</v>
      </c>
      <c r="G19" s="13"/>
      <c r="H19" s="13">
        <v>1936534901.9099998</v>
      </c>
    </row>
    <row r="20" spans="1:8" x14ac:dyDescent="0.2">
      <c r="A20" t="s">
        <v>2</v>
      </c>
      <c r="B20" s="13">
        <v>69274454.609999999</v>
      </c>
      <c r="C20" s="13"/>
      <c r="D20" s="13">
        <v>296197950.05999994</v>
      </c>
      <c r="E20" s="13"/>
      <c r="F20" s="13">
        <v>54772529.049999997</v>
      </c>
      <c r="G20" s="13"/>
      <c r="H20" s="13">
        <v>1765517977.97</v>
      </c>
    </row>
    <row r="21" spans="1:8" x14ac:dyDescent="0.2">
      <c r="A21" t="s">
        <v>0</v>
      </c>
      <c r="B21" s="13">
        <v>375610.5</v>
      </c>
      <c r="C21" s="13"/>
      <c r="D21" s="13">
        <v>2025910.85</v>
      </c>
      <c r="E21" s="13"/>
      <c r="F21" s="13">
        <v>327107</v>
      </c>
      <c r="G21" s="13"/>
      <c r="H21" s="13">
        <v>6471806.9999999991</v>
      </c>
    </row>
    <row r="22" spans="1:8" x14ac:dyDescent="0.2">
      <c r="A22" t="s">
        <v>30</v>
      </c>
      <c r="B22" s="13">
        <v>718.5</v>
      </c>
      <c r="C22" s="13"/>
      <c r="D22" s="13">
        <v>0</v>
      </c>
      <c r="E22" s="13"/>
      <c r="F22" s="13">
        <v>718.5</v>
      </c>
      <c r="G22" s="13"/>
      <c r="H22" s="13">
        <v>718.5</v>
      </c>
    </row>
    <row r="23" spans="1:8" x14ac:dyDescent="0.2">
      <c r="A23" t="s">
        <v>31</v>
      </c>
      <c r="B23" s="13">
        <f>B19-B20-B21+B22</f>
        <v>5769485.099999994</v>
      </c>
      <c r="C23" s="13"/>
      <c r="D23" s="13">
        <v>25591144.649999995</v>
      </c>
      <c r="E23" s="13"/>
      <c r="F23" s="13">
        <v>4581591.53</v>
      </c>
      <c r="G23" s="13"/>
      <c r="H23" s="13">
        <v>164545835.44000003</v>
      </c>
    </row>
    <row r="24" spans="1:8" x14ac:dyDescent="0.2">
      <c r="A24" t="s">
        <v>25</v>
      </c>
      <c r="B24" s="13">
        <f>B23*0.55</f>
        <v>3173216.8049999969</v>
      </c>
      <c r="C24" s="13"/>
      <c r="D24" s="13">
        <f>D23*0.55</f>
        <v>14075129.557499999</v>
      </c>
      <c r="E24" s="13"/>
      <c r="F24" s="13">
        <f>F23*0.55</f>
        <v>2519875.3415000006</v>
      </c>
      <c r="G24" s="13"/>
      <c r="H24" s="13">
        <f>H23*0.55</f>
        <v>90500209.492000028</v>
      </c>
    </row>
    <row r="25" spans="1:8" x14ac:dyDescent="0.2">
      <c r="A25" t="s">
        <v>32</v>
      </c>
      <c r="B25" s="13">
        <f>B23*0.45</f>
        <v>2596268.2949999976</v>
      </c>
      <c r="C25" s="13"/>
      <c r="D25" s="13">
        <f>D23*0.45</f>
        <v>11516015.092499997</v>
      </c>
      <c r="E25" s="13"/>
      <c r="F25" s="13">
        <f>F23*0.45</f>
        <v>2061716.1885000002</v>
      </c>
      <c r="G25" s="13"/>
      <c r="H25" s="13">
        <f>H23*0.45</f>
        <v>74045625.948000014</v>
      </c>
    </row>
    <row r="26" spans="1:8" x14ac:dyDescent="0.2">
      <c r="A26" t="s">
        <v>5</v>
      </c>
      <c r="B26" s="28">
        <v>2239</v>
      </c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B28" s="13"/>
      <c r="C28" s="13"/>
      <c r="D28" s="13"/>
      <c r="E28" s="13"/>
      <c r="F28" s="13"/>
      <c r="G28" s="13"/>
      <c r="H28" s="13"/>
    </row>
    <row r="29" spans="1:8" x14ac:dyDescent="0.2">
      <c r="A29" s="25" t="s">
        <v>41</v>
      </c>
      <c r="B29" s="13"/>
      <c r="C29" s="13"/>
      <c r="D29" s="13"/>
      <c r="E29" s="13"/>
      <c r="F29" s="13"/>
      <c r="G29" s="13"/>
      <c r="H29" s="13"/>
    </row>
    <row r="30" spans="1:8" x14ac:dyDescent="0.2">
      <c r="A30" t="s">
        <v>1</v>
      </c>
      <c r="B30" s="13">
        <v>79056376.730000004</v>
      </c>
      <c r="C30" s="13"/>
      <c r="D30" s="13">
        <v>357346313.82000005</v>
      </c>
      <c r="E30" s="13"/>
      <c r="F30" s="13">
        <v>61374582.950000003</v>
      </c>
      <c r="G30" s="13"/>
      <c r="H30" s="13">
        <v>1841540016.2800004</v>
      </c>
    </row>
    <row r="31" spans="1:8" x14ac:dyDescent="0.2">
      <c r="A31" t="s">
        <v>2</v>
      </c>
      <c r="B31" s="13">
        <v>71817736.310000002</v>
      </c>
      <c r="C31" s="13"/>
      <c r="D31" s="13">
        <v>324324854.63999999</v>
      </c>
      <c r="E31" s="13"/>
      <c r="F31" s="13">
        <v>55793995.549999997</v>
      </c>
      <c r="G31" s="13"/>
      <c r="H31" s="13">
        <v>1668995229.6199996</v>
      </c>
    </row>
    <row r="32" spans="1:8" x14ac:dyDescent="0.2">
      <c r="A32" t="s">
        <v>0</v>
      </c>
      <c r="B32" s="13">
        <v>814048.84</v>
      </c>
      <c r="C32" s="13"/>
      <c r="D32" s="13">
        <v>4303547.71</v>
      </c>
      <c r="E32" s="13"/>
      <c r="F32" s="13">
        <v>591370.44999999995</v>
      </c>
      <c r="G32" s="13"/>
      <c r="H32" s="13">
        <v>11530468.849999998</v>
      </c>
    </row>
    <row r="33" spans="1:8" x14ac:dyDescent="0.2">
      <c r="A33" t="s">
        <v>30</v>
      </c>
      <c r="B33" s="13">
        <v>0</v>
      </c>
      <c r="C33" s="13"/>
      <c r="D33" s="13">
        <v>18941.310000000001</v>
      </c>
      <c r="E33" s="13"/>
      <c r="F33" s="13">
        <v>0</v>
      </c>
      <c r="G33" s="13"/>
      <c r="H33" s="13">
        <v>29520.880000000001</v>
      </c>
    </row>
    <row r="34" spans="1:8" x14ac:dyDescent="0.2">
      <c r="A34" t="s">
        <v>31</v>
      </c>
      <c r="B34" s="13">
        <f>B30-B31-B32</f>
        <v>6424591.5800000019</v>
      </c>
      <c r="C34" s="13"/>
      <c r="D34" s="13">
        <v>28736852.780000005</v>
      </c>
      <c r="E34" s="13"/>
      <c r="F34" s="13">
        <v>4989216.95</v>
      </c>
      <c r="G34" s="13"/>
      <c r="H34" s="13">
        <v>161043838.69</v>
      </c>
    </row>
    <row r="35" spans="1:8" x14ac:dyDescent="0.2">
      <c r="A35" t="s">
        <v>25</v>
      </c>
      <c r="B35" s="13">
        <f>B34*0.55</f>
        <v>3533525.3690000013</v>
      </c>
      <c r="C35" s="13"/>
      <c r="D35" s="13">
        <f>D34*0.55</f>
        <v>15805269.029000005</v>
      </c>
      <c r="E35" s="13"/>
      <c r="F35" s="13">
        <f>F34*0.55</f>
        <v>2744069.3225000002</v>
      </c>
      <c r="G35" s="13"/>
      <c r="H35" s="13">
        <f>H34*0.55</f>
        <v>88574111.279500008</v>
      </c>
    </row>
    <row r="36" spans="1:8" x14ac:dyDescent="0.2">
      <c r="A36" t="s">
        <v>32</v>
      </c>
      <c r="B36" s="13">
        <f>B34*0.45</f>
        <v>2891066.2110000011</v>
      </c>
      <c r="C36" s="13"/>
      <c r="D36" s="13">
        <f>D34*0.45</f>
        <v>12931583.751000002</v>
      </c>
      <c r="E36" s="13"/>
      <c r="F36" s="13">
        <f>F34*0.45</f>
        <v>2245147.6274999999</v>
      </c>
      <c r="G36" s="13"/>
      <c r="H36" s="13">
        <f>H34*0.45</f>
        <v>72469727.410500005</v>
      </c>
    </row>
    <row r="37" spans="1:8" x14ac:dyDescent="0.2">
      <c r="A37" t="s">
        <v>5</v>
      </c>
      <c r="B37" s="26">
        <v>2788</v>
      </c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x14ac:dyDescent="0.2">
      <c r="B39" s="13"/>
      <c r="C39" s="13"/>
      <c r="D39" s="13"/>
      <c r="E39" s="13"/>
      <c r="F39" s="13"/>
      <c r="G39" s="13"/>
      <c r="H39" s="13"/>
    </row>
    <row r="40" spans="1:8" ht="75.95" customHeight="1" x14ac:dyDescent="0.2">
      <c r="A40" s="81" t="s">
        <v>51</v>
      </c>
      <c r="B40" s="81"/>
      <c r="C40" s="81"/>
      <c r="D40" s="81"/>
      <c r="E40" s="81"/>
      <c r="F40" s="81"/>
      <c r="G40" s="81"/>
      <c r="H40" s="81"/>
    </row>
    <row r="41" spans="1:8" x14ac:dyDescent="0.2">
      <c r="B41" s="13"/>
      <c r="C41" s="13"/>
      <c r="D41" s="13"/>
      <c r="E41" s="13"/>
      <c r="F41" s="13"/>
      <c r="G41" s="13"/>
      <c r="H41" s="13"/>
    </row>
    <row r="42" spans="1:8" x14ac:dyDescent="0.2">
      <c r="A42" s="25" t="s">
        <v>50</v>
      </c>
      <c r="B42" s="13"/>
      <c r="C42" s="13"/>
      <c r="D42" s="13"/>
      <c r="E42" s="13"/>
      <c r="F42" s="13"/>
      <c r="G42" s="13"/>
      <c r="H42" s="13"/>
    </row>
    <row r="43" spans="1:8" x14ac:dyDescent="0.2">
      <c r="A43" t="s">
        <v>1</v>
      </c>
      <c r="B43" s="13">
        <v>37486173.25</v>
      </c>
      <c r="C43" s="13"/>
      <c r="D43" s="13">
        <v>167383678.64000002</v>
      </c>
      <c r="E43" s="13"/>
      <c r="F43" s="13">
        <v>29678272.059999999</v>
      </c>
      <c r="G43" s="13"/>
      <c r="H43" s="13">
        <v>874762441.0999999</v>
      </c>
    </row>
    <row r="44" spans="1:8" x14ac:dyDescent="0.2">
      <c r="A44" t="s">
        <v>2</v>
      </c>
      <c r="B44" s="13">
        <v>34086513.240000002</v>
      </c>
      <c r="C44" s="13"/>
      <c r="D44" s="13">
        <v>152041731.75999999</v>
      </c>
      <c r="E44" s="13"/>
      <c r="F44" s="13">
        <v>26902483.500000004</v>
      </c>
      <c r="G44" s="13"/>
      <c r="H44" s="13">
        <v>793288165.08000004</v>
      </c>
    </row>
    <row r="45" spans="1:8" x14ac:dyDescent="0.2">
      <c r="A45" t="s">
        <v>0</v>
      </c>
      <c r="B45" s="13">
        <v>99012.08</v>
      </c>
      <c r="C45" s="13"/>
      <c r="D45" s="13">
        <v>578054.84</v>
      </c>
      <c r="E45" s="13"/>
      <c r="F45" s="13">
        <v>72237.08</v>
      </c>
      <c r="G45" s="13"/>
      <c r="H45" s="13">
        <v>1494166.99</v>
      </c>
    </row>
    <row r="46" spans="1:8" x14ac:dyDescent="0.2">
      <c r="A46" t="s">
        <v>31</v>
      </c>
      <c r="B46" s="13">
        <f>B43-B44-B45</f>
        <v>3300647.9299999978</v>
      </c>
      <c r="C46" s="13"/>
      <c r="D46" s="13">
        <v>14763892.039999994</v>
      </c>
      <c r="E46" s="13"/>
      <c r="F46" s="13">
        <v>2703551.48</v>
      </c>
      <c r="G46" s="13"/>
      <c r="H46" s="13">
        <v>79980109.030000001</v>
      </c>
    </row>
    <row r="47" spans="1:8" x14ac:dyDescent="0.2">
      <c r="A47" t="s">
        <v>25</v>
      </c>
      <c r="B47" s="13">
        <f>B46*0.55</f>
        <v>1815356.361499999</v>
      </c>
      <c r="C47" s="13"/>
      <c r="D47" s="13">
        <f>D46*0.55</f>
        <v>8120140.6219999967</v>
      </c>
      <c r="E47" s="13"/>
      <c r="F47" s="13">
        <f>F46*0.55</f>
        <v>1486953.314</v>
      </c>
      <c r="G47" s="13"/>
      <c r="H47" s="13">
        <f>H46*0.55</f>
        <v>43989059.966500007</v>
      </c>
    </row>
    <row r="48" spans="1:8" x14ac:dyDescent="0.2">
      <c r="A48" t="s">
        <v>32</v>
      </c>
      <c r="B48" s="13">
        <f>B46*0.45</f>
        <v>1485291.5684999991</v>
      </c>
      <c r="C48" s="13"/>
      <c r="D48" s="13">
        <f>D46*0.45</f>
        <v>6643751.4179999968</v>
      </c>
      <c r="E48" s="13"/>
      <c r="F48" s="13">
        <f>F46*0.45</f>
        <v>1216598.166</v>
      </c>
      <c r="G48" s="13"/>
      <c r="H48" s="13">
        <f>H46*0.45</f>
        <v>35991049.063500002</v>
      </c>
    </row>
    <row r="49" spans="1:9" x14ac:dyDescent="0.2">
      <c r="A49" t="s">
        <v>5</v>
      </c>
      <c r="B49" s="28">
        <v>2000</v>
      </c>
      <c r="C49" s="13"/>
      <c r="D49" s="13"/>
      <c r="E49" s="13"/>
      <c r="F49" s="13"/>
      <c r="G49" s="13"/>
      <c r="H49" s="13"/>
    </row>
    <row r="50" spans="1:9" x14ac:dyDescent="0.2">
      <c r="B50" s="13"/>
      <c r="C50" s="13"/>
      <c r="D50" s="13"/>
      <c r="E50" s="13"/>
      <c r="F50" s="13"/>
      <c r="G50" s="13"/>
      <c r="H50" s="13"/>
    </row>
    <row r="51" spans="1:9" x14ac:dyDescent="0.2">
      <c r="B51" s="13"/>
      <c r="C51" s="13"/>
      <c r="D51" s="13"/>
      <c r="E51" s="13"/>
      <c r="F51" s="13"/>
      <c r="G51" s="13"/>
      <c r="H51" s="13"/>
    </row>
    <row r="52" spans="1:9" x14ac:dyDescent="0.2">
      <c r="A52" s="25" t="s">
        <v>74</v>
      </c>
      <c r="B52" s="13"/>
      <c r="C52" s="13"/>
      <c r="D52" s="13"/>
      <c r="E52" s="13"/>
      <c r="F52" s="13"/>
      <c r="G52" s="13"/>
      <c r="H52" s="13"/>
    </row>
    <row r="53" spans="1:9" x14ac:dyDescent="0.2">
      <c r="A53" t="s">
        <v>1</v>
      </c>
      <c r="B53" s="13">
        <v>54489712.450000003</v>
      </c>
      <c r="C53" s="13"/>
      <c r="D53" s="13">
        <v>248937834.46000004</v>
      </c>
      <c r="E53" s="13"/>
      <c r="F53" s="13">
        <v>41626756.890000001</v>
      </c>
      <c r="G53" s="13"/>
      <c r="H53" s="13">
        <v>457822355.74000001</v>
      </c>
    </row>
    <row r="54" spans="1:9" x14ac:dyDescent="0.2">
      <c r="A54" t="s">
        <v>2</v>
      </c>
      <c r="B54" s="13">
        <v>49867869.920000002</v>
      </c>
      <c r="C54" s="13"/>
      <c r="D54" s="13">
        <v>228974822.62000006</v>
      </c>
      <c r="E54" s="13"/>
      <c r="F54" s="13">
        <v>38139161.859999999</v>
      </c>
      <c r="G54" s="13"/>
      <c r="H54" s="13">
        <v>420965586.01000011</v>
      </c>
    </row>
    <row r="55" spans="1:9" x14ac:dyDescent="0.2">
      <c r="A55" t="s">
        <v>0</v>
      </c>
      <c r="B55" s="13">
        <v>0</v>
      </c>
      <c r="C55" s="13"/>
      <c r="D55" s="13">
        <v>0</v>
      </c>
      <c r="E55" s="13"/>
      <c r="F55" s="13">
        <v>0</v>
      </c>
      <c r="G55" s="13"/>
      <c r="H55" s="13">
        <v>0</v>
      </c>
    </row>
    <row r="56" spans="1:9" x14ac:dyDescent="0.2">
      <c r="A56" t="s">
        <v>31</v>
      </c>
      <c r="B56" s="13">
        <f>B53-B54</f>
        <v>4621842.5300000012</v>
      </c>
      <c r="C56" s="13"/>
      <c r="D56" s="13">
        <v>19963011.84</v>
      </c>
      <c r="E56" s="13"/>
      <c r="F56" s="13">
        <v>3487595.03</v>
      </c>
      <c r="G56" s="13"/>
      <c r="H56" s="13">
        <v>36856769.729999997</v>
      </c>
    </row>
    <row r="57" spans="1:9" x14ac:dyDescent="0.2">
      <c r="A57" t="s">
        <v>25</v>
      </c>
      <c r="B57" s="13">
        <f>B56*0.55</f>
        <v>2542013.3915000008</v>
      </c>
      <c r="C57" s="13"/>
      <c r="D57" s="13">
        <f>D56*0.55</f>
        <v>10979656.512</v>
      </c>
      <c r="E57" s="13"/>
      <c r="F57" s="13">
        <f>F56*0.55</f>
        <v>1918177.2665000001</v>
      </c>
      <c r="G57" s="13"/>
      <c r="H57" s="13">
        <f>H56*0.55</f>
        <v>20271223.351500001</v>
      </c>
    </row>
    <row r="58" spans="1:9" x14ac:dyDescent="0.2">
      <c r="A58" t="s">
        <v>32</v>
      </c>
      <c r="B58" s="13">
        <f>B56*0.45</f>
        <v>2079829.1385000006</v>
      </c>
      <c r="C58" s="13"/>
      <c r="D58" s="13">
        <f>D56*0.45</f>
        <v>8983355.3279999997</v>
      </c>
      <c r="E58" s="13"/>
      <c r="F58" s="13">
        <f>F56*0.45</f>
        <v>1569417.7634999999</v>
      </c>
      <c r="G58" s="13"/>
      <c r="H58" s="13">
        <f>H56*0.45</f>
        <v>16585546.3785</v>
      </c>
    </row>
    <row r="59" spans="1:9" x14ac:dyDescent="0.2">
      <c r="A59" t="s">
        <v>5</v>
      </c>
      <c r="B59" s="28">
        <v>1738</v>
      </c>
      <c r="C59" s="13"/>
      <c r="D59" s="13"/>
      <c r="E59" s="13"/>
      <c r="F59" s="13"/>
      <c r="G59" s="13"/>
      <c r="H59" s="13"/>
    </row>
    <row r="60" spans="1:9" x14ac:dyDescent="0.2"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B61" s="13"/>
      <c r="C61" s="13"/>
      <c r="D61" s="13"/>
      <c r="E61" s="13"/>
      <c r="F61" s="13"/>
      <c r="G61" s="13"/>
      <c r="H61" s="13"/>
      <c r="I61" s="13"/>
    </row>
    <row r="62" spans="1:9" x14ac:dyDescent="0.2">
      <c r="A62" s="8" t="s">
        <v>6</v>
      </c>
      <c r="B62" s="13"/>
      <c r="C62" s="13"/>
      <c r="D62" s="13"/>
      <c r="E62" s="13"/>
      <c r="F62" s="13"/>
      <c r="G62" s="13"/>
      <c r="H62" s="13"/>
    </row>
    <row r="63" spans="1:9" ht="13.5" x14ac:dyDescent="0.25">
      <c r="A63" t="s">
        <v>1</v>
      </c>
      <c r="B63" s="13">
        <v>288189560.88999999</v>
      </c>
      <c r="C63" s="13"/>
      <c r="D63" s="13">
        <v>1295042858.3799999</v>
      </c>
      <c r="E63" s="13"/>
      <c r="F63" s="13">
        <v>224825314.64999998</v>
      </c>
      <c r="G63" s="13"/>
      <c r="H63" s="30">
        <v>6244836206.1499996</v>
      </c>
    </row>
    <row r="64" spans="1:9" ht="13.5" x14ac:dyDescent="0.25">
      <c r="A64" t="s">
        <v>2</v>
      </c>
      <c r="B64" s="13">
        <v>263098151.13999999</v>
      </c>
      <c r="C64" s="13"/>
      <c r="D64" s="13">
        <v>1181725301.3200002</v>
      </c>
      <c r="E64" s="13"/>
      <c r="F64" s="13">
        <v>205204240.77000001</v>
      </c>
      <c r="G64" s="13"/>
      <c r="H64" s="30">
        <v>5677490971.8299999</v>
      </c>
    </row>
    <row r="65" spans="1:9" ht="13.5" x14ac:dyDescent="0.25">
      <c r="A65" t="s">
        <v>0</v>
      </c>
      <c r="B65" s="13">
        <v>1288671.42</v>
      </c>
      <c r="C65" s="13"/>
      <c r="D65" s="13">
        <v>6907513.4000000013</v>
      </c>
      <c r="E65" s="13"/>
      <c r="F65" s="13">
        <v>990714.53</v>
      </c>
      <c r="G65" s="13"/>
      <c r="H65" s="30">
        <v>19502852.840000004</v>
      </c>
    </row>
    <row r="66" spans="1:9" ht="13.5" x14ac:dyDescent="0.25">
      <c r="A66" t="s">
        <v>30</v>
      </c>
      <c r="B66" s="13">
        <v>718.5</v>
      </c>
      <c r="C66" s="13"/>
      <c r="D66" s="13">
        <v>18941.310000000001</v>
      </c>
      <c r="E66" s="13"/>
      <c r="F66" s="13">
        <v>718.5</v>
      </c>
      <c r="G66" s="13"/>
      <c r="H66" s="30">
        <v>229391.41</v>
      </c>
    </row>
    <row r="67" spans="1:9" ht="13.5" x14ac:dyDescent="0.25">
      <c r="A67" t="s">
        <v>31</v>
      </c>
      <c r="B67" s="13">
        <f>B63-B64-B65+B66</f>
        <v>23803456.829999998</v>
      </c>
      <c r="C67" s="13"/>
      <c r="D67" s="13">
        <v>106428984.96999998</v>
      </c>
      <c r="E67" s="13"/>
      <c r="F67" s="13">
        <v>18631077.849999994</v>
      </c>
      <c r="G67" s="13"/>
      <c r="H67" s="30">
        <v>548071772.88999999</v>
      </c>
    </row>
    <row r="68" spans="1:9" x14ac:dyDescent="0.2">
      <c r="A68" t="s">
        <v>25</v>
      </c>
      <c r="B68" s="13">
        <f>B67*0.55</f>
        <v>13091901.2565</v>
      </c>
      <c r="C68" s="13"/>
      <c r="D68" s="13">
        <f>D67*0.55</f>
        <v>58535941.733499996</v>
      </c>
      <c r="E68" s="13"/>
      <c r="F68" s="13">
        <f>F67*0.55</f>
        <v>10247092.817499997</v>
      </c>
      <c r="G68" s="13"/>
      <c r="H68" s="13">
        <f>H67*0.55</f>
        <v>301439475.08950001</v>
      </c>
    </row>
    <row r="69" spans="1:9" x14ac:dyDescent="0.2">
      <c r="A69" t="s">
        <v>32</v>
      </c>
      <c r="B69" s="13">
        <f>B67*0.45</f>
        <v>10711555.5735</v>
      </c>
      <c r="C69" s="13"/>
      <c r="D69" s="13">
        <f>D67*0.45</f>
        <v>47893043.236499995</v>
      </c>
      <c r="E69" s="13"/>
      <c r="F69" s="13">
        <f>F67*0.45</f>
        <v>8383985.0324999979</v>
      </c>
      <c r="G69" s="13"/>
      <c r="H69" s="13">
        <f>H67*0.45</f>
        <v>246632297.80050001</v>
      </c>
    </row>
    <row r="70" spans="1:9" x14ac:dyDescent="0.2">
      <c r="A70" t="s">
        <v>5</v>
      </c>
      <c r="B70" s="26">
        <f>B59+B49+B37+B26+B15</f>
        <v>9968</v>
      </c>
      <c r="I70" s="13"/>
    </row>
    <row r="71" spans="1:9" x14ac:dyDescent="0.2">
      <c r="B71" s="28"/>
      <c r="D71" s="13"/>
      <c r="F71" s="13"/>
      <c r="H71" s="13"/>
    </row>
    <row r="72" spans="1:9" x14ac:dyDescent="0.2">
      <c r="H72" s="13"/>
    </row>
    <row r="73" spans="1:9" ht="76.5" customHeight="1" x14ac:dyDescent="0.2">
      <c r="A73" s="81" t="s">
        <v>51</v>
      </c>
      <c r="B73" s="81"/>
      <c r="C73" s="81"/>
      <c r="D73" s="81"/>
      <c r="E73" s="81"/>
      <c r="F73" s="81"/>
      <c r="G73" s="81"/>
      <c r="H73" s="81"/>
    </row>
    <row r="74" spans="1:9" x14ac:dyDescent="0.2">
      <c r="A74" s="29"/>
    </row>
    <row r="75" spans="1:9" x14ac:dyDescent="0.2">
      <c r="A75" s="29"/>
    </row>
    <row r="76" spans="1:9" x14ac:dyDescent="0.2">
      <c r="A76" s="29"/>
    </row>
    <row r="77" spans="1:9" x14ac:dyDescent="0.2">
      <c r="A77" s="29"/>
    </row>
  </sheetData>
  <mergeCells count="4">
    <mergeCell ref="A1:H1"/>
    <mergeCell ref="A2:H2"/>
    <mergeCell ref="A40:H40"/>
    <mergeCell ref="A73:H73"/>
  </mergeCells>
  <phoneticPr fontId="4" type="noConversion"/>
  <pageMargins left="0.75" right="0.75" top="1" bottom="1" header="0.5" footer="0.5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B26" sqref="B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83"/>
      <c r="B1" s="83"/>
      <c r="C1" s="83"/>
      <c r="D1" s="83"/>
      <c r="E1" s="83"/>
      <c r="F1" s="83"/>
    </row>
    <row r="2" spans="1:6" ht="18" x14ac:dyDescent="0.25">
      <c r="A2" s="77" t="s">
        <v>22</v>
      </c>
      <c r="B2" s="78"/>
      <c r="C2" s="78"/>
      <c r="D2" s="78"/>
      <c r="E2" s="78"/>
      <c r="F2" s="78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81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42898648.920000002</v>
      </c>
      <c r="C8" s="13"/>
      <c r="D8" s="13">
        <v>147141882.47999999</v>
      </c>
      <c r="E8" s="13"/>
      <c r="F8" s="13">
        <v>1051293154.0300001</v>
      </c>
    </row>
    <row r="9" spans="1:6" x14ac:dyDescent="0.2">
      <c r="A9" t="s">
        <v>2</v>
      </c>
      <c r="B9" s="13">
        <v>39151708.439999998</v>
      </c>
      <c r="C9" s="13"/>
      <c r="D9" s="13">
        <v>134263596.23000005</v>
      </c>
      <c r="E9" s="13"/>
      <c r="F9" s="13">
        <v>953205596.33000004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3746940.48</v>
      </c>
      <c r="C12" s="13"/>
      <c r="D12" s="13">
        <v>12878286.25</v>
      </c>
      <c r="E12" s="13"/>
      <c r="F12" s="13">
        <v>98280299.730000004</v>
      </c>
    </row>
    <row r="13" spans="1:6" x14ac:dyDescent="0.2">
      <c r="A13" t="s">
        <v>25</v>
      </c>
      <c r="B13" s="13">
        <v>2060817.2640000004</v>
      </c>
      <c r="C13" s="13"/>
      <c r="D13" s="13">
        <v>7083057.4375000009</v>
      </c>
      <c r="E13" s="13"/>
      <c r="F13" s="13">
        <v>54054164.851500005</v>
      </c>
    </row>
    <row r="14" spans="1:6" x14ac:dyDescent="0.2">
      <c r="A14" t="s">
        <v>32</v>
      </c>
      <c r="B14" s="13">
        <v>1686123.2160000002</v>
      </c>
      <c r="C14" s="13"/>
      <c r="D14" s="13">
        <v>5795228.8125</v>
      </c>
      <c r="E14" s="13"/>
      <c r="F14" s="13">
        <v>44226134.8785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68206576.460000008</v>
      </c>
      <c r="C19" s="13"/>
      <c r="D19" s="13">
        <v>236735459.53999993</v>
      </c>
      <c r="E19" s="13"/>
      <c r="F19" s="13">
        <v>1789774846.8099999</v>
      </c>
    </row>
    <row r="20" spans="1:6" x14ac:dyDescent="0.2">
      <c r="A20" t="s">
        <v>2</v>
      </c>
      <c r="B20" s="13">
        <v>62517462.120000005</v>
      </c>
      <c r="C20" s="13"/>
      <c r="D20" s="13">
        <v>216472800.11999997</v>
      </c>
      <c r="E20" s="13"/>
      <c r="F20" s="13">
        <v>1631020298.98</v>
      </c>
    </row>
    <row r="21" spans="1:6" x14ac:dyDescent="0.2">
      <c r="A21" t="s">
        <v>0</v>
      </c>
      <c r="B21" s="13">
        <v>325248.17</v>
      </c>
      <c r="C21" s="13"/>
      <c r="D21" s="13">
        <v>1452103.8</v>
      </c>
      <c r="E21" s="13"/>
      <c r="F21" s="13">
        <v>5570892.9499999993</v>
      </c>
    </row>
    <row r="22" spans="1:6" x14ac:dyDescent="0.2">
      <c r="A22" t="s">
        <v>31</v>
      </c>
      <c r="B22" s="13">
        <v>5363866.17</v>
      </c>
      <c r="C22" s="13"/>
      <c r="D22" s="13">
        <v>18810555.619999997</v>
      </c>
      <c r="E22" s="13"/>
      <c r="F22" s="13">
        <v>153183654.88000003</v>
      </c>
    </row>
    <row r="23" spans="1:6" x14ac:dyDescent="0.2">
      <c r="A23" t="s">
        <v>25</v>
      </c>
      <c r="B23" s="13">
        <v>2950126.3935000007</v>
      </c>
      <c r="C23" s="13"/>
      <c r="D23" s="13">
        <v>10345805.591</v>
      </c>
      <c r="E23" s="13"/>
      <c r="F23" s="13">
        <v>84251010.184000015</v>
      </c>
    </row>
    <row r="24" spans="1:6" x14ac:dyDescent="0.2">
      <c r="A24" t="s">
        <v>32</v>
      </c>
      <c r="B24" s="13">
        <v>2413739.7765000006</v>
      </c>
      <c r="C24" s="13"/>
      <c r="D24" s="13">
        <v>8464750.0289999992</v>
      </c>
      <c r="E24" s="13"/>
      <c r="F24" s="13">
        <v>68932644.69600001</v>
      </c>
    </row>
    <row r="25" spans="1:6" x14ac:dyDescent="0.2">
      <c r="A25" t="s">
        <v>5</v>
      </c>
      <c r="B25" s="28">
        <v>2239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76944186.950000003</v>
      </c>
      <c r="C29" s="13"/>
      <c r="D29" s="13">
        <v>257248865.75</v>
      </c>
      <c r="E29" s="13"/>
      <c r="F29" s="13">
        <v>1680067985.2600002</v>
      </c>
    </row>
    <row r="30" spans="1:6" x14ac:dyDescent="0.2">
      <c r="A30" t="s">
        <v>2</v>
      </c>
      <c r="B30" s="13">
        <v>69693733.969999999</v>
      </c>
      <c r="C30" s="13"/>
      <c r="D30" s="13">
        <v>233239729.28000003</v>
      </c>
      <c r="E30" s="13"/>
      <c r="F30" s="13">
        <v>1522116108.7099998</v>
      </c>
    </row>
    <row r="31" spans="1:6" x14ac:dyDescent="0.2">
      <c r="A31" t="s">
        <v>0</v>
      </c>
      <c r="B31" s="13">
        <v>1015059.39</v>
      </c>
      <c r="C31" s="13"/>
      <c r="D31" s="13">
        <v>3024980.15</v>
      </c>
      <c r="E31" s="13"/>
      <c r="F31" s="13">
        <v>9660530.8399999999</v>
      </c>
    </row>
    <row r="32" spans="1:6" x14ac:dyDescent="0.2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">
      <c r="A33" t="s">
        <v>31</v>
      </c>
      <c r="B33" s="13">
        <v>6235393.5900000008</v>
      </c>
      <c r="C33" s="13"/>
      <c r="D33" s="13">
        <v>21003097.629999999</v>
      </c>
      <c r="E33" s="13"/>
      <c r="F33" s="13">
        <v>148320866.59</v>
      </c>
    </row>
    <row r="34" spans="1:6" x14ac:dyDescent="0.2">
      <c r="A34" t="s">
        <v>25</v>
      </c>
      <c r="B34" s="13">
        <v>3429466.4745000005</v>
      </c>
      <c r="C34" s="13"/>
      <c r="D34" s="13">
        <v>11551703.6965</v>
      </c>
      <c r="E34" s="13"/>
      <c r="F34" s="13">
        <v>81576476.624500006</v>
      </c>
    </row>
    <row r="35" spans="1:6" x14ac:dyDescent="0.2">
      <c r="A35" t="s">
        <v>32</v>
      </c>
      <c r="B35" s="13">
        <v>2805927.1155000003</v>
      </c>
      <c r="C35" s="13"/>
      <c r="D35" s="13">
        <v>9451393.9334999993</v>
      </c>
      <c r="E35" s="13"/>
      <c r="F35" s="13">
        <v>66744389.965500005</v>
      </c>
    </row>
    <row r="36" spans="1:6" x14ac:dyDescent="0.2">
      <c r="A36" t="s">
        <v>5</v>
      </c>
      <c r="B36" s="31">
        <v>2788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81" t="s">
        <v>51</v>
      </c>
      <c r="B39" s="81"/>
      <c r="C39" s="81"/>
      <c r="D39" s="81"/>
      <c r="E39" s="81"/>
      <c r="F39" s="81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36591180.68</v>
      </c>
      <c r="C42" s="13"/>
      <c r="D42" s="13">
        <v>123670452.77000001</v>
      </c>
      <c r="E42" s="13"/>
      <c r="F42" s="13">
        <v>801370943.16999996</v>
      </c>
    </row>
    <row r="43" spans="1:6" x14ac:dyDescent="0.2">
      <c r="A43" t="s">
        <v>2</v>
      </c>
      <c r="B43" s="13">
        <v>33212041.619999997</v>
      </c>
      <c r="C43" s="13"/>
      <c r="D43" s="13">
        <v>112291434.36999999</v>
      </c>
      <c r="E43" s="13"/>
      <c r="F43" s="13">
        <v>726635384.19000006</v>
      </c>
    </row>
    <row r="44" spans="1:6" x14ac:dyDescent="0.2">
      <c r="A44" t="s">
        <v>0</v>
      </c>
      <c r="B44" s="13">
        <v>123720.5</v>
      </c>
      <c r="C44" s="13"/>
      <c r="D44" s="13">
        <v>442110.34</v>
      </c>
      <c r="E44" s="13"/>
      <c r="F44" s="13">
        <v>1285985.4099999999</v>
      </c>
    </row>
    <row r="45" spans="1:6" x14ac:dyDescent="0.2">
      <c r="A45" t="s">
        <v>31</v>
      </c>
      <c r="B45" s="13">
        <v>3255418.56</v>
      </c>
      <c r="C45" s="13"/>
      <c r="D45" s="13">
        <v>10936908.059999997</v>
      </c>
      <c r="E45" s="13"/>
      <c r="F45" s="13">
        <v>73449573.570000008</v>
      </c>
    </row>
    <row r="46" spans="1:6" x14ac:dyDescent="0.2">
      <c r="A46" t="s">
        <v>25</v>
      </c>
      <c r="B46" s="13">
        <v>1790480.2080000001</v>
      </c>
      <c r="C46" s="13"/>
      <c r="D46" s="13">
        <v>6015299.4329999983</v>
      </c>
      <c r="E46" s="13"/>
      <c r="F46" s="13">
        <v>40397265.463500008</v>
      </c>
    </row>
    <row r="47" spans="1:6" x14ac:dyDescent="0.2">
      <c r="A47" t="s">
        <v>32</v>
      </c>
      <c r="B47" s="13">
        <v>1464938.352</v>
      </c>
      <c r="C47" s="13"/>
      <c r="D47" s="13">
        <v>4921608.6269999985</v>
      </c>
      <c r="E47" s="13"/>
      <c r="F47" s="13">
        <v>33052308.106500003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53922295.709999993</v>
      </c>
      <c r="C52" s="13"/>
      <c r="D52" s="13">
        <v>181738953.17000002</v>
      </c>
      <c r="E52" s="13"/>
      <c r="F52" s="13">
        <v>348996717.56000006</v>
      </c>
    </row>
    <row r="53" spans="1:7" x14ac:dyDescent="0.2">
      <c r="A53" t="s">
        <v>2</v>
      </c>
      <c r="B53" s="13">
        <v>49633955.019999996</v>
      </c>
      <c r="C53" s="13"/>
      <c r="D53" s="13">
        <v>167351186.51000005</v>
      </c>
      <c r="E53" s="13"/>
      <c r="F53" s="13">
        <v>321202788.04000008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4288340.6900000004</v>
      </c>
      <c r="C55" s="13"/>
      <c r="D55" s="13">
        <v>14387766.659999998</v>
      </c>
      <c r="E55" s="13"/>
      <c r="F55" s="13">
        <v>27793929.519999996</v>
      </c>
    </row>
    <row r="56" spans="1:7" x14ac:dyDescent="0.2">
      <c r="A56" t="s">
        <v>25</v>
      </c>
      <c r="B56" s="13">
        <v>2358587.3794999998</v>
      </c>
      <c r="C56" s="13"/>
      <c r="D56" s="13">
        <v>7913271.6629999997</v>
      </c>
      <c r="E56" s="13"/>
      <c r="F56" s="13">
        <v>15286661.236</v>
      </c>
    </row>
    <row r="57" spans="1:7" x14ac:dyDescent="0.2">
      <c r="A57" t="s">
        <v>32</v>
      </c>
      <c r="B57" s="13">
        <v>1929753.3104999999</v>
      </c>
      <c r="C57" s="13"/>
      <c r="D57" s="13">
        <v>6474494.9969999995</v>
      </c>
      <c r="E57" s="13"/>
      <c r="F57" s="13">
        <v>12507268.283999998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  <c r="G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278562888.72000003</v>
      </c>
      <c r="C62" s="13"/>
      <c r="D62" s="13">
        <v>946535613.71000004</v>
      </c>
      <c r="E62" s="13"/>
      <c r="F62" s="13">
        <v>5671503646.8299999</v>
      </c>
    </row>
    <row r="63" spans="1:7" x14ac:dyDescent="0.2">
      <c r="A63" t="s">
        <v>2</v>
      </c>
      <c r="B63" s="13">
        <v>254208901.17000002</v>
      </c>
      <c r="C63" s="13"/>
      <c r="D63" s="13">
        <v>863618746.50999999</v>
      </c>
      <c r="E63" s="13"/>
      <c r="F63" s="13">
        <v>5154180176.25</v>
      </c>
    </row>
    <row r="64" spans="1:7" x14ac:dyDescent="0.2">
      <c r="A64" t="s">
        <v>0</v>
      </c>
      <c r="B64" s="13">
        <v>1464028.06</v>
      </c>
      <c r="C64" s="13"/>
      <c r="D64" s="13">
        <v>4919194.29</v>
      </c>
      <c r="E64" s="13"/>
      <c r="F64" s="13">
        <v>16523819.199999999</v>
      </c>
    </row>
    <row r="65" spans="1:7" x14ac:dyDescent="0.2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">
      <c r="A66" t="s">
        <v>31</v>
      </c>
      <c r="B66" s="13">
        <v>22889959.490000002</v>
      </c>
      <c r="C66" s="13"/>
      <c r="D66" s="13">
        <v>78016614.219999999</v>
      </c>
      <c r="E66" s="13"/>
      <c r="F66" s="13">
        <v>501028324.29000008</v>
      </c>
    </row>
    <row r="67" spans="1:7" x14ac:dyDescent="0.2">
      <c r="A67" t="s">
        <v>25</v>
      </c>
      <c r="B67" s="13">
        <v>12589477.719500002</v>
      </c>
      <c r="C67" s="13"/>
      <c r="D67" s="13">
        <v>42909137.821000002</v>
      </c>
      <c r="E67" s="13"/>
      <c r="F67" s="13">
        <v>275565578.35950005</v>
      </c>
    </row>
    <row r="68" spans="1:7" x14ac:dyDescent="0.2">
      <c r="A68" t="s">
        <v>32</v>
      </c>
      <c r="B68" s="13">
        <v>10300481.770500001</v>
      </c>
      <c r="C68" s="13"/>
      <c r="D68" s="13">
        <v>35107476.399000004</v>
      </c>
      <c r="E68" s="13"/>
      <c r="F68" s="13">
        <v>225462745.93050003</v>
      </c>
    </row>
    <row r="69" spans="1:7" x14ac:dyDescent="0.2">
      <c r="A69" t="s">
        <v>5</v>
      </c>
      <c r="B69" s="18">
        <v>9968</v>
      </c>
    </row>
    <row r="70" spans="1:7" x14ac:dyDescent="0.2">
      <c r="D70" s="13"/>
      <c r="F70" s="13"/>
      <c r="G70" s="13"/>
    </row>
    <row r="71" spans="1:7" x14ac:dyDescent="0.2">
      <c r="D71" s="13"/>
      <c r="F71" s="13"/>
    </row>
    <row r="72" spans="1:7" ht="76.5" customHeight="1" x14ac:dyDescent="0.2">
      <c r="A72" s="81" t="s">
        <v>51</v>
      </c>
      <c r="B72" s="81"/>
      <c r="C72" s="81"/>
      <c r="D72" s="81"/>
      <c r="E72" s="81"/>
      <c r="F72" s="81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A26" sqref="A26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  <col min="7" max="7" width="18.140625" bestFit="1" customWidth="1"/>
  </cols>
  <sheetData>
    <row r="1" spans="1:6" ht="63" customHeight="1" x14ac:dyDescent="0.2">
      <c r="A1" s="83"/>
      <c r="B1" s="83"/>
      <c r="C1" s="83"/>
      <c r="D1" s="83"/>
      <c r="E1" s="83"/>
      <c r="F1" s="83"/>
    </row>
    <row r="2" spans="1:6" ht="18" x14ac:dyDescent="0.25">
      <c r="A2" s="77" t="s">
        <v>22</v>
      </c>
      <c r="B2" s="78"/>
      <c r="C2" s="78"/>
      <c r="D2" s="78"/>
      <c r="E2" s="78"/>
      <c r="F2" s="78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">
      <c r="A5" s="9"/>
      <c r="B5" s="11" t="s">
        <v>80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42440211.869999997</v>
      </c>
      <c r="C8" s="13"/>
      <c r="D8" s="13">
        <v>104243233.55999999</v>
      </c>
      <c r="E8" s="13"/>
      <c r="F8" s="13">
        <v>1008394505.11</v>
      </c>
    </row>
    <row r="9" spans="1:6" x14ac:dyDescent="0.2">
      <c r="A9" t="s">
        <v>2</v>
      </c>
      <c r="B9" s="13">
        <v>38784046.709999993</v>
      </c>
      <c r="C9" s="13"/>
      <c r="D9" s="13">
        <v>95111887.790000021</v>
      </c>
      <c r="E9" s="13"/>
      <c r="F9" s="13">
        <v>914053887.8900001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3656165.16</v>
      </c>
      <c r="C12" s="13"/>
      <c r="D12" s="13">
        <v>9131345.7699999996</v>
      </c>
      <c r="E12" s="13"/>
      <c r="F12" s="13">
        <v>94533359.25</v>
      </c>
    </row>
    <row r="13" spans="1:6" x14ac:dyDescent="0.2">
      <c r="A13" t="s">
        <v>25</v>
      </c>
      <c r="B13" s="13">
        <v>2010890.8379999995</v>
      </c>
      <c r="C13" s="13"/>
      <c r="D13" s="13">
        <v>5022240.1735000005</v>
      </c>
      <c r="E13" s="13"/>
      <c r="F13" s="13">
        <v>51993347.587500006</v>
      </c>
    </row>
    <row r="14" spans="1:6" x14ac:dyDescent="0.2">
      <c r="A14" t="s">
        <v>32</v>
      </c>
      <c r="B14" s="13">
        <v>1645274.3219999995</v>
      </c>
      <c r="C14" s="13"/>
      <c r="D14" s="13">
        <v>4109105.5965</v>
      </c>
      <c r="E14" s="13"/>
      <c r="F14" s="13">
        <v>42540011.662500001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69868087.449999988</v>
      </c>
      <c r="C19" s="13"/>
      <c r="D19" s="13">
        <v>168528883.07999998</v>
      </c>
      <c r="E19" s="13"/>
      <c r="F19" s="13">
        <v>1721568270.3499999</v>
      </c>
    </row>
    <row r="20" spans="1:6" x14ac:dyDescent="0.2">
      <c r="A20" t="s">
        <v>2</v>
      </c>
      <c r="B20" s="13">
        <v>63744144.090000004</v>
      </c>
      <c r="C20" s="13"/>
      <c r="D20" s="13">
        <v>153955338</v>
      </c>
      <c r="E20" s="13"/>
      <c r="F20" s="13">
        <v>1568502836.8600001</v>
      </c>
    </row>
    <row r="21" spans="1:6" x14ac:dyDescent="0.2">
      <c r="A21" t="s">
        <v>0</v>
      </c>
      <c r="B21" s="13">
        <v>449337.78</v>
      </c>
      <c r="C21" s="13"/>
      <c r="D21" s="13">
        <v>1126855.6299999999</v>
      </c>
      <c r="E21" s="13"/>
      <c r="F21" s="13">
        <v>5245644.78</v>
      </c>
    </row>
    <row r="22" spans="1:6" x14ac:dyDescent="0.2">
      <c r="A22" t="s">
        <v>31</v>
      </c>
      <c r="B22" s="13">
        <v>5674605.5799999991</v>
      </c>
      <c r="C22" s="13"/>
      <c r="D22" s="13">
        <v>13446689.449999996</v>
      </c>
      <c r="E22" s="13"/>
      <c r="F22" s="13">
        <v>147819788.71000001</v>
      </c>
    </row>
    <row r="23" spans="1:6" x14ac:dyDescent="0.2">
      <c r="A23" t="s">
        <v>25</v>
      </c>
      <c r="B23" s="13">
        <v>3121033.0689999997</v>
      </c>
      <c r="C23" s="13"/>
      <c r="D23" s="13">
        <v>7395679.1974999979</v>
      </c>
      <c r="E23" s="13"/>
      <c r="F23" s="13">
        <v>81300883.790500015</v>
      </c>
    </row>
    <row r="24" spans="1:6" x14ac:dyDescent="0.2">
      <c r="A24" t="s">
        <v>32</v>
      </c>
      <c r="B24" s="13">
        <v>2553572.5109999995</v>
      </c>
      <c r="C24" s="13"/>
      <c r="D24" s="13">
        <v>6051010.2524999985</v>
      </c>
      <c r="E24" s="13"/>
      <c r="F24" s="13">
        <v>66518904.919500008</v>
      </c>
    </row>
    <row r="25" spans="1:6" x14ac:dyDescent="0.2">
      <c r="A25" t="s">
        <v>5</v>
      </c>
      <c r="B25" s="28">
        <v>2239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73451192.890000001</v>
      </c>
      <c r="C29" s="13"/>
      <c r="D29" s="13">
        <v>180304678.80000001</v>
      </c>
      <c r="E29" s="13"/>
      <c r="F29" s="13">
        <v>1603123798.3100002</v>
      </c>
    </row>
    <row r="30" spans="1:6" x14ac:dyDescent="0.2">
      <c r="A30" t="s">
        <v>2</v>
      </c>
      <c r="B30" s="13">
        <v>66725836.440000005</v>
      </c>
      <c r="C30" s="13"/>
      <c r="D30" s="13">
        <v>163545995.31</v>
      </c>
      <c r="E30" s="13"/>
      <c r="F30" s="13">
        <v>1452422374.7399998</v>
      </c>
    </row>
    <row r="31" spans="1:6" x14ac:dyDescent="0.2">
      <c r="A31" t="s">
        <v>0</v>
      </c>
      <c r="B31" s="13">
        <v>702752.06</v>
      </c>
      <c r="C31" s="13"/>
      <c r="D31" s="13">
        <v>2009920.76</v>
      </c>
      <c r="E31" s="13"/>
      <c r="F31" s="13">
        <v>8645471.4499999993</v>
      </c>
    </row>
    <row r="32" spans="1:6" x14ac:dyDescent="0.2">
      <c r="A32" t="s">
        <v>30</v>
      </c>
      <c r="B32" s="13">
        <v>18941.310000000001</v>
      </c>
      <c r="C32" s="13"/>
      <c r="D32" s="13">
        <v>18941.310000000001</v>
      </c>
      <c r="E32" s="13"/>
      <c r="F32" s="13">
        <v>29520.880000000001</v>
      </c>
    </row>
    <row r="33" spans="1:6" x14ac:dyDescent="0.2">
      <c r="A33" t="s">
        <v>31</v>
      </c>
      <c r="B33" s="13">
        <v>6041545.7000000002</v>
      </c>
      <c r="C33" s="13"/>
      <c r="D33" s="13">
        <v>14767704.040000001</v>
      </c>
      <c r="E33" s="13"/>
      <c r="F33" s="13">
        <v>142085473</v>
      </c>
    </row>
    <row r="34" spans="1:6" x14ac:dyDescent="0.2">
      <c r="A34" t="s">
        <v>25</v>
      </c>
      <c r="B34" s="13">
        <v>3322850.1350000002</v>
      </c>
      <c r="C34" s="13"/>
      <c r="D34" s="13">
        <v>8122237.222000001</v>
      </c>
      <c r="E34" s="13"/>
      <c r="F34" s="13">
        <v>78147010.150000006</v>
      </c>
    </row>
    <row r="35" spans="1:6" x14ac:dyDescent="0.2">
      <c r="A35" t="s">
        <v>32</v>
      </c>
      <c r="B35" s="13">
        <v>2718695.5649999999</v>
      </c>
      <c r="C35" s="13"/>
      <c r="D35" s="13">
        <v>6645466.8180000009</v>
      </c>
      <c r="E35" s="13"/>
      <c r="F35" s="13">
        <v>63938462.850000001</v>
      </c>
    </row>
    <row r="36" spans="1:6" x14ac:dyDescent="0.2">
      <c r="A36" t="s">
        <v>5</v>
      </c>
      <c r="B36" s="31">
        <v>2781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81" t="s">
        <v>51</v>
      </c>
      <c r="B39" s="81"/>
      <c r="C39" s="81"/>
      <c r="D39" s="81"/>
      <c r="E39" s="81"/>
      <c r="F39" s="81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36383359.950000003</v>
      </c>
      <c r="C42" s="13"/>
      <c r="D42" s="13">
        <v>87079272.090000004</v>
      </c>
      <c r="E42" s="13"/>
      <c r="F42" s="13">
        <v>764779762.49000001</v>
      </c>
    </row>
    <row r="43" spans="1:6" x14ac:dyDescent="0.2">
      <c r="A43" t="s">
        <v>2</v>
      </c>
      <c r="B43" s="13">
        <v>32982774.32</v>
      </c>
      <c r="C43" s="13"/>
      <c r="D43" s="13">
        <v>79079392.75</v>
      </c>
      <c r="E43" s="13"/>
      <c r="F43" s="13">
        <v>693423342.57000005</v>
      </c>
    </row>
    <row r="44" spans="1:6" x14ac:dyDescent="0.2">
      <c r="A44" t="s">
        <v>0</v>
      </c>
      <c r="B44" s="13">
        <v>156725</v>
      </c>
      <c r="C44" s="13"/>
      <c r="D44" s="13">
        <v>318389.84000000003</v>
      </c>
      <c r="E44" s="13"/>
      <c r="F44" s="13">
        <v>1162264.9099999999</v>
      </c>
    </row>
    <row r="45" spans="1:6" x14ac:dyDescent="0.2">
      <c r="A45" t="s">
        <v>31</v>
      </c>
      <c r="B45" s="13">
        <v>3243860.63</v>
      </c>
      <c r="C45" s="13"/>
      <c r="D45" s="13">
        <v>7681489.4999999981</v>
      </c>
      <c r="E45" s="13"/>
      <c r="F45" s="13">
        <v>70194155.010000005</v>
      </c>
    </row>
    <row r="46" spans="1:6" x14ac:dyDescent="0.2">
      <c r="A46" t="s">
        <v>25</v>
      </c>
      <c r="B46" s="13">
        <v>1784123.3465</v>
      </c>
      <c r="C46" s="13"/>
      <c r="D46" s="13">
        <v>4224819.2249999996</v>
      </c>
      <c r="E46" s="13"/>
      <c r="F46" s="13">
        <v>38606785.255500004</v>
      </c>
    </row>
    <row r="47" spans="1:6" x14ac:dyDescent="0.2">
      <c r="A47" t="s">
        <v>32</v>
      </c>
      <c r="B47" s="13">
        <v>1459737.2834999999</v>
      </c>
      <c r="C47" s="13"/>
      <c r="D47" s="13">
        <v>3456670.2749999994</v>
      </c>
      <c r="E47" s="13"/>
      <c r="F47" s="13">
        <v>31587369.754500002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7" x14ac:dyDescent="0.2">
      <c r="B49" s="13"/>
      <c r="C49" s="13"/>
      <c r="D49" s="13"/>
      <c r="E49" s="13"/>
      <c r="F49" s="13"/>
    </row>
    <row r="50" spans="1:7" x14ac:dyDescent="0.2">
      <c r="B50" s="13"/>
      <c r="C50" s="13"/>
      <c r="D50" s="13"/>
      <c r="E50" s="13"/>
      <c r="F50" s="13"/>
    </row>
    <row r="51" spans="1:7" x14ac:dyDescent="0.2">
      <c r="A51" s="25" t="s">
        <v>74</v>
      </c>
      <c r="B51" s="13"/>
      <c r="C51" s="13"/>
      <c r="D51" s="13"/>
      <c r="E51" s="13"/>
      <c r="F51" s="13"/>
    </row>
    <row r="52" spans="1:7" x14ac:dyDescent="0.2">
      <c r="A52" t="s">
        <v>1</v>
      </c>
      <c r="B52" s="13">
        <v>53160174.940000005</v>
      </c>
      <c r="C52" s="13"/>
      <c r="D52" s="13">
        <v>127816657.46000001</v>
      </c>
      <c r="E52" s="13"/>
      <c r="F52" s="13">
        <v>295074421.85000002</v>
      </c>
    </row>
    <row r="53" spans="1:7" x14ac:dyDescent="0.2">
      <c r="A53" t="s">
        <v>2</v>
      </c>
      <c r="B53" s="13">
        <v>48828279.289999999</v>
      </c>
      <c r="C53" s="13"/>
      <c r="D53" s="13">
        <v>117717231.49000001</v>
      </c>
      <c r="E53" s="13"/>
      <c r="F53" s="13">
        <v>271568833.02000004</v>
      </c>
    </row>
    <row r="54" spans="1:7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">
      <c r="A55" t="s">
        <v>31</v>
      </c>
      <c r="B55" s="13">
        <v>4331895.6500000004</v>
      </c>
      <c r="C55" s="13"/>
      <c r="D55" s="13">
        <v>10099425.969999997</v>
      </c>
      <c r="E55" s="13"/>
      <c r="F55" s="13">
        <v>23505588.829999994</v>
      </c>
    </row>
    <row r="56" spans="1:7" x14ac:dyDescent="0.2">
      <c r="A56" t="s">
        <v>25</v>
      </c>
      <c r="B56" s="13">
        <v>2382542.6074999995</v>
      </c>
      <c r="C56" s="13"/>
      <c r="D56" s="13">
        <v>5554684.283499999</v>
      </c>
      <c r="E56" s="13"/>
      <c r="F56" s="13">
        <v>12928073.856499998</v>
      </c>
    </row>
    <row r="57" spans="1:7" x14ac:dyDescent="0.2">
      <c r="A57" t="s">
        <v>32</v>
      </c>
      <c r="B57" s="13">
        <v>1949353.0424999993</v>
      </c>
      <c r="C57" s="13"/>
      <c r="D57" s="13">
        <v>4544741.6864999989</v>
      </c>
      <c r="E57" s="13"/>
      <c r="F57" s="13">
        <v>10577514.973499998</v>
      </c>
    </row>
    <row r="58" spans="1:7" x14ac:dyDescent="0.2">
      <c r="A58" t="s">
        <v>5</v>
      </c>
      <c r="B58" s="28">
        <v>1738</v>
      </c>
      <c r="C58" s="13"/>
      <c r="D58" s="13"/>
      <c r="E58" s="13"/>
      <c r="F58" s="13"/>
    </row>
    <row r="59" spans="1:7" x14ac:dyDescent="0.2">
      <c r="B59" s="13"/>
      <c r="C59" s="13"/>
      <c r="D59" s="13"/>
      <c r="E59" s="13"/>
      <c r="F59" s="13"/>
      <c r="G59" s="13"/>
    </row>
    <row r="60" spans="1:7" x14ac:dyDescent="0.2">
      <c r="B60" s="13"/>
      <c r="C60" s="13"/>
      <c r="D60" s="13"/>
      <c r="E60" s="13"/>
      <c r="F60" s="13"/>
    </row>
    <row r="61" spans="1:7" x14ac:dyDescent="0.2">
      <c r="A61" s="8" t="s">
        <v>6</v>
      </c>
      <c r="B61" s="13"/>
      <c r="C61" s="13"/>
      <c r="D61" s="13"/>
      <c r="E61" s="13"/>
      <c r="F61" s="13"/>
    </row>
    <row r="62" spans="1:7" x14ac:dyDescent="0.2">
      <c r="A62" t="s">
        <v>1</v>
      </c>
      <c r="B62" s="13">
        <v>275303027.10000002</v>
      </c>
      <c r="C62" s="13"/>
      <c r="D62" s="13">
        <v>667972724.99000001</v>
      </c>
      <c r="E62" s="13"/>
      <c r="F62" s="13">
        <v>5392940758.1099997</v>
      </c>
    </row>
    <row r="63" spans="1:7" x14ac:dyDescent="0.2">
      <c r="A63" t="s">
        <v>2</v>
      </c>
      <c r="B63" s="13">
        <v>251065080.84999999</v>
      </c>
      <c r="C63" s="13"/>
      <c r="D63" s="13">
        <v>609409845.34000003</v>
      </c>
      <c r="E63" s="13"/>
      <c r="F63" s="13">
        <v>4899971275.0799999</v>
      </c>
    </row>
    <row r="64" spans="1:7" x14ac:dyDescent="0.2">
      <c r="A64" t="s">
        <v>0</v>
      </c>
      <c r="B64" s="13">
        <v>1308814.8400000001</v>
      </c>
      <c r="C64" s="13"/>
      <c r="D64" s="13">
        <v>3455166.23</v>
      </c>
      <c r="E64" s="13"/>
      <c r="F64" s="13">
        <v>15059791.140000001</v>
      </c>
    </row>
    <row r="65" spans="1:7" x14ac:dyDescent="0.2">
      <c r="A65" t="s">
        <v>30</v>
      </c>
      <c r="B65" s="13">
        <v>18941.310000000001</v>
      </c>
      <c r="C65" s="13"/>
      <c r="D65" s="13">
        <v>18941.310000000001</v>
      </c>
      <c r="E65" s="13"/>
      <c r="F65" s="13">
        <v>228672.91</v>
      </c>
    </row>
    <row r="66" spans="1:7" x14ac:dyDescent="0.2">
      <c r="A66" t="s">
        <v>31</v>
      </c>
      <c r="B66" s="13">
        <v>22948072.719999995</v>
      </c>
      <c r="C66" s="13"/>
      <c r="D66" s="13">
        <v>55126654.729999989</v>
      </c>
      <c r="E66" s="13"/>
      <c r="F66" s="13">
        <v>478138364.80000007</v>
      </c>
    </row>
    <row r="67" spans="1:7" x14ac:dyDescent="0.2">
      <c r="A67" t="s">
        <v>25</v>
      </c>
      <c r="B67" s="13">
        <v>12621439.995999997</v>
      </c>
      <c r="C67" s="13"/>
      <c r="D67" s="13">
        <v>30319660.101499997</v>
      </c>
      <c r="E67" s="13"/>
      <c r="F67" s="13">
        <v>262976100.64000008</v>
      </c>
    </row>
    <row r="68" spans="1:7" x14ac:dyDescent="0.2">
      <c r="A68" t="s">
        <v>32</v>
      </c>
      <c r="B68" s="13">
        <v>10326632.723999998</v>
      </c>
      <c r="C68" s="13"/>
      <c r="D68" s="13">
        <v>24806994.628499996</v>
      </c>
      <c r="E68" s="13"/>
      <c r="F68" s="13">
        <v>215162264.16000003</v>
      </c>
    </row>
    <row r="69" spans="1:7" x14ac:dyDescent="0.2">
      <c r="A69" t="s">
        <v>5</v>
      </c>
      <c r="B69" s="18">
        <v>9961</v>
      </c>
    </row>
    <row r="70" spans="1:7" x14ac:dyDescent="0.2">
      <c r="F70" s="13"/>
      <c r="G70" s="13"/>
    </row>
    <row r="71" spans="1:7" x14ac:dyDescent="0.2">
      <c r="D71" s="13"/>
    </row>
    <row r="72" spans="1:7" ht="76.5" customHeight="1" x14ac:dyDescent="0.2">
      <c r="A72" s="81" t="s">
        <v>51</v>
      </c>
      <c r="B72" s="81"/>
      <c r="C72" s="81"/>
      <c r="D72" s="81"/>
      <c r="E72" s="81"/>
      <c r="F72" s="81"/>
    </row>
    <row r="73" spans="1:7" x14ac:dyDescent="0.2">
      <c r="A73" s="29"/>
    </row>
    <row r="74" spans="1:7" x14ac:dyDescent="0.2">
      <c r="A74" s="29"/>
    </row>
    <row r="75" spans="1:7" x14ac:dyDescent="0.2">
      <c r="A75" s="29"/>
    </row>
    <row r="76" spans="1:7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workbookViewId="0">
      <selection activeCell="A3" sqref="A3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</cols>
  <sheetData>
    <row r="1" spans="1:6" ht="63" customHeight="1" x14ac:dyDescent="0.2">
      <c r="A1" s="83"/>
      <c r="B1" s="83"/>
      <c r="C1" s="83"/>
      <c r="D1" s="83"/>
      <c r="E1" s="83"/>
      <c r="F1" s="83"/>
    </row>
    <row r="2" spans="1:6" ht="18" x14ac:dyDescent="0.25">
      <c r="A2" s="77" t="s">
        <v>22</v>
      </c>
      <c r="B2" s="78"/>
      <c r="C2" s="78"/>
      <c r="D2" s="78"/>
      <c r="E2" s="78"/>
      <c r="F2" s="78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">
      <c r="A5" s="9"/>
      <c r="B5" s="11" t="s">
        <v>75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 t="e">
        <f>SUM(#REF!)</f>
        <v>#REF!</v>
      </c>
      <c r="C8" s="13"/>
      <c r="D8" s="13">
        <v>97652704.910000011</v>
      </c>
      <c r="E8" s="13"/>
      <c r="F8" s="13">
        <v>830052138.73000002</v>
      </c>
    </row>
    <row r="9" spans="1:6" x14ac:dyDescent="0.2">
      <c r="A9" t="s">
        <v>2</v>
      </c>
      <c r="B9" s="13" t="e">
        <f>SUM(#REF!)</f>
        <v>#REF!</v>
      </c>
      <c r="C9" s="13"/>
      <c r="D9" s="13">
        <v>89040866.700000018</v>
      </c>
      <c r="E9" s="13"/>
      <c r="F9" s="13">
        <v>751199524.42000008</v>
      </c>
    </row>
    <row r="10" spans="1:6" x14ac:dyDescent="0.2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 t="e">
        <f>SUM(#REF!)</f>
        <v>#REF!</v>
      </c>
      <c r="C12" s="13"/>
      <c r="D12" s="13">
        <v>8611838.2100000009</v>
      </c>
      <c r="E12" s="13"/>
      <c r="F12" s="13">
        <v>79045356.340000004</v>
      </c>
    </row>
    <row r="13" spans="1:6" x14ac:dyDescent="0.2">
      <c r="A13" t="s">
        <v>25</v>
      </c>
      <c r="B13" s="13" t="e">
        <f>B12*0.55</f>
        <v>#REF!</v>
      </c>
      <c r="C13" s="13"/>
      <c r="D13" s="13">
        <f>D12*0.55</f>
        <v>4736511.0155000007</v>
      </c>
      <c r="E13" s="13"/>
      <c r="F13" s="13">
        <f>F12*0.55</f>
        <v>43474945.987000003</v>
      </c>
    </row>
    <row r="14" spans="1:6" x14ac:dyDescent="0.2">
      <c r="A14" t="s">
        <v>32</v>
      </c>
      <c r="B14" s="13" t="e">
        <f>B12*0.45</f>
        <v>#REF!</v>
      </c>
      <c r="C14" s="13"/>
      <c r="D14" s="13">
        <f>D12*0.45</f>
        <v>3875327.1945000007</v>
      </c>
      <c r="E14" s="13"/>
      <c r="F14" s="13">
        <f>F12*0.45</f>
        <v>35570410.353</v>
      </c>
    </row>
    <row r="15" spans="1:6" x14ac:dyDescent="0.2">
      <c r="A15" t="s">
        <v>5</v>
      </c>
      <c r="B15" s="28">
        <v>1203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 t="e">
        <f>SUM(#REF!)</f>
        <v>#REF!</v>
      </c>
      <c r="C19" s="13"/>
      <c r="D19" s="13">
        <v>171790497.19999999</v>
      </c>
      <c r="E19" s="13"/>
      <c r="F19" s="13">
        <v>1431493284.8</v>
      </c>
    </row>
    <row r="20" spans="1:6" x14ac:dyDescent="0.2">
      <c r="A20" t="s">
        <v>2</v>
      </c>
      <c r="B20" s="13" t="e">
        <f>SUM(#REF!)</f>
        <v>#REF!</v>
      </c>
      <c r="C20" s="13"/>
      <c r="D20" s="13">
        <v>156777329.53</v>
      </c>
      <c r="E20" s="13"/>
      <c r="F20" s="13">
        <v>1303343458.4100001</v>
      </c>
    </row>
    <row r="21" spans="1:6" x14ac:dyDescent="0.2">
      <c r="A21" t="s">
        <v>0</v>
      </c>
      <c r="B21" s="13" t="e">
        <f>SUM(#REF!)</f>
        <v>#REF!</v>
      </c>
      <c r="C21" s="13"/>
      <c r="D21" s="13">
        <v>1059696.3600000001</v>
      </c>
      <c r="E21" s="13"/>
      <c r="F21" s="13">
        <v>3630685.25</v>
      </c>
    </row>
    <row r="22" spans="1:6" x14ac:dyDescent="0.2">
      <c r="A22" t="s">
        <v>31</v>
      </c>
      <c r="B22" s="13" t="e">
        <f>SUM(#REF!)</f>
        <v>#REF!</v>
      </c>
      <c r="C22" s="13"/>
      <c r="D22" s="13">
        <v>13953471.310000001</v>
      </c>
      <c r="E22" s="13"/>
      <c r="F22" s="13">
        <v>124519141.14000002</v>
      </c>
    </row>
    <row r="23" spans="1:6" x14ac:dyDescent="0.2">
      <c r="A23" t="s">
        <v>25</v>
      </c>
      <c r="B23" s="13" t="e">
        <f>B22*0.55</f>
        <v>#REF!</v>
      </c>
      <c r="C23" s="13"/>
      <c r="D23" s="13">
        <f>D22*0.55</f>
        <v>7674409.2205000008</v>
      </c>
      <c r="E23" s="13"/>
      <c r="F23" s="13">
        <f>F22*0.55</f>
        <v>68485527.627000019</v>
      </c>
    </row>
    <row r="24" spans="1:6" x14ac:dyDescent="0.2">
      <c r="A24" t="s">
        <v>32</v>
      </c>
      <c r="B24" s="13" t="e">
        <f>B22*0.45</f>
        <v>#REF!</v>
      </c>
      <c r="C24" s="13"/>
      <c r="D24" s="13">
        <f>D22*0.45</f>
        <v>6279062.0895000007</v>
      </c>
      <c r="E24" s="13"/>
      <c r="F24" s="13">
        <f>F22*0.45</f>
        <v>56033613.513000011</v>
      </c>
    </row>
    <row r="25" spans="1:6" x14ac:dyDescent="0.2">
      <c r="A25" t="s">
        <v>5</v>
      </c>
      <c r="B25" s="28">
        <v>2231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 t="e">
        <f>SUM(#REF!)</f>
        <v>#REF!</v>
      </c>
      <c r="C29" s="13"/>
      <c r="D29" s="13">
        <v>173318008.12000003</v>
      </c>
      <c r="E29" s="13"/>
      <c r="F29" s="13">
        <v>1295866762.5200002</v>
      </c>
    </row>
    <row r="30" spans="1:6" x14ac:dyDescent="0.2">
      <c r="A30" t="s">
        <v>2</v>
      </c>
      <c r="B30" s="13" t="e">
        <f>SUM(#REF!)</f>
        <v>#REF!</v>
      </c>
      <c r="C30" s="13"/>
      <c r="D30" s="13">
        <v>157292752.79999998</v>
      </c>
      <c r="E30" s="13"/>
      <c r="F30" s="13">
        <v>1173281966.3499999</v>
      </c>
    </row>
    <row r="31" spans="1:6" x14ac:dyDescent="0.2">
      <c r="A31" t="s">
        <v>0</v>
      </c>
      <c r="B31" s="13" t="e">
        <f>SUM(#REF!)</f>
        <v>#REF!</v>
      </c>
      <c r="C31" s="13"/>
      <c r="D31" s="13">
        <v>1269776.3700000001</v>
      </c>
      <c r="E31" s="13"/>
      <c r="F31" s="13">
        <v>5614013</v>
      </c>
    </row>
    <row r="32" spans="1:6" x14ac:dyDescent="0.2">
      <c r="A32" t="s">
        <v>30</v>
      </c>
      <c r="B32" s="33" t="e">
        <f>SUM(#REF!)</f>
        <v>#REF!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 t="e">
        <f>SUM(#REF!)</f>
        <v>#REF!</v>
      </c>
      <c r="C33" s="13"/>
      <c r="D33" s="13">
        <v>14755478.950000003</v>
      </c>
      <c r="E33" s="13"/>
      <c r="F33" s="13">
        <v>116981362.73999999</v>
      </c>
    </row>
    <row r="34" spans="1:6" x14ac:dyDescent="0.2">
      <c r="A34" t="s">
        <v>25</v>
      </c>
      <c r="B34" s="13" t="e">
        <f>B33*0.55</f>
        <v>#REF!</v>
      </c>
      <c r="C34" s="13"/>
      <c r="D34" s="13">
        <f>D33*0.55</f>
        <v>8115513.4225000022</v>
      </c>
      <c r="E34" s="13"/>
      <c r="F34" s="13">
        <f>F33*0.55</f>
        <v>64339749.506999999</v>
      </c>
    </row>
    <row r="35" spans="1:6" x14ac:dyDescent="0.2">
      <c r="A35" t="s">
        <v>32</v>
      </c>
      <c r="B35" s="13" t="e">
        <f>B33*0.45</f>
        <v>#REF!</v>
      </c>
      <c r="C35" s="13"/>
      <c r="D35" s="13">
        <f>D33*0.45</f>
        <v>6639965.5275000017</v>
      </c>
      <c r="E35" s="13"/>
      <c r="F35" s="13">
        <f>F33*0.45</f>
        <v>52641613.232999995</v>
      </c>
    </row>
    <row r="36" spans="1:6" x14ac:dyDescent="0.2">
      <c r="A36" t="s">
        <v>5</v>
      </c>
      <c r="B36" s="31">
        <v>2735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81" t="s">
        <v>51</v>
      </c>
      <c r="B39" s="81"/>
      <c r="C39" s="81"/>
      <c r="D39" s="81"/>
      <c r="E39" s="81"/>
      <c r="F39" s="81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 t="e">
        <f>SUM(#REF!)</f>
        <v>#REF!</v>
      </c>
      <c r="C42" s="13"/>
      <c r="D42" s="13">
        <v>84671324.820000023</v>
      </c>
      <c r="E42" s="13"/>
      <c r="F42" s="13">
        <v>615504794.76999998</v>
      </c>
    </row>
    <row r="43" spans="1:6" x14ac:dyDescent="0.2">
      <c r="A43" t="s">
        <v>2</v>
      </c>
      <c r="B43" s="13" t="e">
        <f>SUM(#REF!)</f>
        <v>#REF!</v>
      </c>
      <c r="C43" s="13"/>
      <c r="D43" s="13">
        <v>76853725.580000013</v>
      </c>
      <c r="E43" s="13"/>
      <c r="F43" s="13">
        <v>558311463.92000008</v>
      </c>
    </row>
    <row r="44" spans="1:6" x14ac:dyDescent="0.2">
      <c r="A44" t="s">
        <v>0</v>
      </c>
      <c r="B44" s="13" t="e">
        <f>SUM(#REF!)</f>
        <v>#REF!</v>
      </c>
      <c r="C44" s="13"/>
      <c r="D44" s="13">
        <v>120806.5</v>
      </c>
      <c r="E44" s="13"/>
      <c r="F44" s="13">
        <v>668317.91</v>
      </c>
    </row>
    <row r="45" spans="1:6" x14ac:dyDescent="0.2">
      <c r="A45" t="s">
        <v>31</v>
      </c>
      <c r="B45" s="13" t="e">
        <f>SUM(#REF!)</f>
        <v>#REF!</v>
      </c>
      <c r="C45" s="13"/>
      <c r="D45" s="13">
        <v>7696792.7399999984</v>
      </c>
      <c r="E45" s="13"/>
      <c r="F45" s="13">
        <v>56525012.939999998</v>
      </c>
    </row>
    <row r="46" spans="1:6" x14ac:dyDescent="0.2">
      <c r="A46" t="s">
        <v>25</v>
      </c>
      <c r="B46" s="13" t="e">
        <f>B45*0.55</f>
        <v>#REF!</v>
      </c>
      <c r="C46" s="13"/>
      <c r="D46" s="13">
        <f>D45*0.55</f>
        <v>4233236.0069999993</v>
      </c>
      <c r="E46" s="13"/>
      <c r="F46" s="13">
        <f>F45*0.55</f>
        <v>31088757.117000002</v>
      </c>
    </row>
    <row r="47" spans="1:6" x14ac:dyDescent="0.2">
      <c r="A47" t="s">
        <v>32</v>
      </c>
      <c r="B47" s="13" t="e">
        <f>B45*0.45</f>
        <v>#REF!</v>
      </c>
      <c r="C47" s="13"/>
      <c r="D47" s="13">
        <f>D45*0.45</f>
        <v>3463556.7329999995</v>
      </c>
      <c r="E47" s="13"/>
      <c r="F47" s="13">
        <f>F45*0.45</f>
        <v>25436255.822999999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25" t="s">
        <v>74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 t="e">
        <f>SUM(#REF!)</f>
        <v>#REF!</v>
      </c>
      <c r="C52" s="13"/>
      <c r="D52" s="13">
        <v>66549817.260000005</v>
      </c>
      <c r="E52" s="13"/>
      <c r="F52" s="13">
        <v>66549817.260000005</v>
      </c>
    </row>
    <row r="53" spans="1:6" x14ac:dyDescent="0.2">
      <c r="A53" t="s">
        <v>2</v>
      </c>
      <c r="B53" s="13" t="e">
        <f>SUM(#REF!)</f>
        <v>#REF!</v>
      </c>
      <c r="C53" s="13"/>
      <c r="D53" s="13">
        <v>61328094.119999997</v>
      </c>
      <c r="E53" s="13"/>
      <c r="F53" s="13">
        <v>61328094.119999997</v>
      </c>
    </row>
    <row r="54" spans="1:6" x14ac:dyDescent="0.2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6" x14ac:dyDescent="0.2">
      <c r="A55" t="s">
        <v>31</v>
      </c>
      <c r="B55" s="13" t="e">
        <f>SUM(#REF!)</f>
        <v>#REF!</v>
      </c>
      <c r="C55" s="13"/>
      <c r="D55" s="13">
        <v>5221723.1399999997</v>
      </c>
      <c r="E55" s="13"/>
      <c r="F55" s="13">
        <v>5221723.1399999997</v>
      </c>
    </row>
    <row r="56" spans="1:6" x14ac:dyDescent="0.2">
      <c r="A56" t="s">
        <v>25</v>
      </c>
      <c r="B56" s="13" t="e">
        <f>B55*0.55</f>
        <v>#REF!</v>
      </c>
      <c r="C56" s="13"/>
      <c r="D56" s="13">
        <f>D55*0.55</f>
        <v>2871947.727</v>
      </c>
      <c r="E56" s="13"/>
      <c r="F56" s="13">
        <f>F55*0.55</f>
        <v>2871947.727</v>
      </c>
    </row>
    <row r="57" spans="1:6" x14ac:dyDescent="0.2">
      <c r="A57" t="s">
        <v>32</v>
      </c>
      <c r="B57" s="13" t="e">
        <f>B55*0.45</f>
        <v>#REF!</v>
      </c>
      <c r="C57" s="13"/>
      <c r="D57" s="13">
        <f>D55*0.45</f>
        <v>2349775.4129999997</v>
      </c>
      <c r="E57" s="13"/>
      <c r="F57" s="13">
        <f>F55*0.45</f>
        <v>2349775.4129999997</v>
      </c>
    </row>
    <row r="58" spans="1:6" x14ac:dyDescent="0.2">
      <c r="A58" t="s">
        <v>5</v>
      </c>
      <c r="B58" s="28">
        <v>1738</v>
      </c>
      <c r="C58" s="13"/>
      <c r="D58" s="13"/>
      <c r="E58" s="13"/>
      <c r="F58" s="13"/>
    </row>
    <row r="59" spans="1:6" x14ac:dyDescent="0.2">
      <c r="B59" s="13"/>
      <c r="C59" s="13"/>
      <c r="D59" s="13"/>
      <c r="E59" s="13"/>
      <c r="F59" s="13"/>
    </row>
    <row r="60" spans="1:6" x14ac:dyDescent="0.2">
      <c r="B60" s="13"/>
      <c r="C60" s="13"/>
      <c r="D60" s="13"/>
      <c r="E60" s="13"/>
      <c r="F60" s="13"/>
    </row>
    <row r="61" spans="1:6" x14ac:dyDescent="0.2">
      <c r="A61" s="8" t="s">
        <v>6</v>
      </c>
      <c r="B61" s="13"/>
      <c r="C61" s="13"/>
      <c r="D61" s="13"/>
      <c r="E61" s="13"/>
      <c r="F61" s="13"/>
    </row>
    <row r="62" spans="1:6" x14ac:dyDescent="0.2">
      <c r="A62" t="s">
        <v>1</v>
      </c>
      <c r="B62" s="13" t="e">
        <f>SUM(#REF!)</f>
        <v>#REF!</v>
      </c>
      <c r="C62" s="13"/>
      <c r="D62" s="13">
        <v>593982352.30999994</v>
      </c>
      <c r="E62" s="13"/>
      <c r="F62" s="13">
        <v>4239466798.0799999</v>
      </c>
    </row>
    <row r="63" spans="1:6" x14ac:dyDescent="0.2">
      <c r="A63" t="s">
        <v>2</v>
      </c>
      <c r="B63" s="13" t="e">
        <f>SUM(#REF!)</f>
        <v>#REF!</v>
      </c>
      <c r="C63" s="13"/>
      <c r="D63" s="13">
        <v>541292768.73000002</v>
      </c>
      <c r="E63" s="13"/>
      <c r="F63" s="13">
        <v>3847464507.2199998</v>
      </c>
    </row>
    <row r="64" spans="1:6" x14ac:dyDescent="0.2">
      <c r="A64" t="s">
        <v>0</v>
      </c>
      <c r="B64" s="13" t="e">
        <f>SUM(#REF!)</f>
        <v>#REF!</v>
      </c>
      <c r="C64" s="13"/>
      <c r="D64" s="13">
        <v>2450279.23</v>
      </c>
      <c r="E64" s="13"/>
      <c r="F64" s="13">
        <v>9919426.1600000001</v>
      </c>
    </row>
    <row r="65" spans="1:6" x14ac:dyDescent="0.2">
      <c r="A65" t="s">
        <v>30</v>
      </c>
      <c r="B65" s="13" t="e">
        <f>SUM(#REF!)</f>
        <v>#REF!</v>
      </c>
      <c r="C65" s="13"/>
      <c r="D65" s="13">
        <v>0</v>
      </c>
      <c r="E65" s="13"/>
      <c r="F65" s="13">
        <v>209731.6</v>
      </c>
    </row>
    <row r="66" spans="1:6" x14ac:dyDescent="0.2">
      <c r="A66" t="s">
        <v>31</v>
      </c>
      <c r="B66" s="13" t="e">
        <f>SUM(#REF!)</f>
        <v>#REF!</v>
      </c>
      <c r="C66" s="13"/>
      <c r="D66" s="13">
        <v>50239304.349999994</v>
      </c>
      <c r="E66" s="13"/>
      <c r="F66" s="13">
        <v>382292596.30000007</v>
      </c>
    </row>
    <row r="67" spans="1:6" x14ac:dyDescent="0.2">
      <c r="A67" t="s">
        <v>25</v>
      </c>
      <c r="B67" s="13" t="e">
        <f>B66*0.55</f>
        <v>#REF!</v>
      </c>
      <c r="C67" s="13"/>
      <c r="D67" s="13">
        <f>D66*0.55</f>
        <v>27631617.392499998</v>
      </c>
      <c r="E67" s="13"/>
      <c r="F67" s="13">
        <f>F66*0.55</f>
        <v>210260927.96500006</v>
      </c>
    </row>
    <row r="68" spans="1:6" x14ac:dyDescent="0.2">
      <c r="A68" t="s">
        <v>32</v>
      </c>
      <c r="B68" s="13" t="e">
        <f>B66*0.45</f>
        <v>#REF!</v>
      </c>
      <c r="C68" s="13"/>
      <c r="D68" s="13">
        <f>D66*0.45</f>
        <v>22607686.9575</v>
      </c>
      <c r="E68" s="13"/>
      <c r="F68" s="13">
        <f>F66*0.45</f>
        <v>172031668.33500004</v>
      </c>
    </row>
    <row r="69" spans="1:6" x14ac:dyDescent="0.2">
      <c r="A69" t="s">
        <v>5</v>
      </c>
      <c r="B69" s="18">
        <f>B58+B48+B36+B25+B15</f>
        <v>9907</v>
      </c>
    </row>
    <row r="72" spans="1:6" ht="76.5" customHeight="1" x14ac:dyDescent="0.2">
      <c r="A72" s="81" t="s">
        <v>51</v>
      </c>
      <c r="B72" s="81"/>
      <c r="C72" s="81"/>
      <c r="D72" s="81"/>
      <c r="E72" s="81"/>
      <c r="F72" s="81"/>
    </row>
    <row r="73" spans="1:6" x14ac:dyDescent="0.2">
      <c r="A73" s="29"/>
    </row>
    <row r="74" spans="1:6" x14ac:dyDescent="0.2">
      <c r="A74" s="29"/>
    </row>
    <row r="75" spans="1:6" x14ac:dyDescent="0.2">
      <c r="A75" s="29"/>
    </row>
    <row r="76" spans="1:6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zoomScaleNormal="100" workbookViewId="0">
      <selection activeCell="A5" sqref="A5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19.140625" bestFit="1" customWidth="1"/>
  </cols>
  <sheetData>
    <row r="1" spans="1:6" ht="63" customHeight="1" x14ac:dyDescent="0.2">
      <c r="A1" s="83"/>
      <c r="B1" s="83"/>
      <c r="C1" s="83"/>
      <c r="D1" s="83"/>
      <c r="E1" s="83"/>
      <c r="F1" s="83"/>
    </row>
    <row r="2" spans="1:6" ht="18" x14ac:dyDescent="0.25">
      <c r="A2" s="77" t="s">
        <v>22</v>
      </c>
      <c r="B2" s="78"/>
      <c r="C2" s="78"/>
      <c r="D2" s="78"/>
      <c r="E2" s="78"/>
      <c r="F2" s="78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">
      <c r="A5" s="9"/>
      <c r="B5" s="11" t="s">
        <v>73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37787487.030000001</v>
      </c>
      <c r="C8" s="13"/>
      <c r="D8" s="13">
        <v>57140183.270000011</v>
      </c>
      <c r="E8" s="13"/>
      <c r="F8" s="13">
        <v>789539617.09000003</v>
      </c>
    </row>
    <row r="9" spans="1:6" x14ac:dyDescent="0.2">
      <c r="A9" t="s">
        <v>2</v>
      </c>
      <c r="B9" s="13">
        <v>34426195.339999996</v>
      </c>
      <c r="C9" s="13"/>
      <c r="D9" s="13">
        <v>51968981.770000003</v>
      </c>
      <c r="E9" s="13"/>
      <c r="F9" s="13">
        <v>714127639.49000001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3361291.69</v>
      </c>
      <c r="C12" s="13"/>
      <c r="D12" s="13">
        <v>5171201.5</v>
      </c>
      <c r="E12" s="13"/>
      <c r="F12" s="13">
        <v>75604719.629999995</v>
      </c>
    </row>
    <row r="13" spans="1:6" x14ac:dyDescent="0.2">
      <c r="A13" t="s">
        <v>25</v>
      </c>
      <c r="B13" s="13">
        <v>1848710.4295000003</v>
      </c>
      <c r="C13" s="13"/>
      <c r="D13" s="13">
        <v>2844160.8250000002</v>
      </c>
      <c r="E13" s="13"/>
      <c r="F13" s="13">
        <v>41582595.796499997</v>
      </c>
    </row>
    <row r="14" spans="1:6" x14ac:dyDescent="0.2">
      <c r="A14" t="s">
        <v>32</v>
      </c>
      <c r="B14" s="13">
        <v>1512581.2605000003</v>
      </c>
      <c r="C14" s="13"/>
      <c r="D14" s="13">
        <v>2327040.6750000003</v>
      </c>
      <c r="E14" s="13"/>
      <c r="F14" s="13">
        <v>34022123.833499998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64980237.980000004</v>
      </c>
      <c r="C19" s="13"/>
      <c r="D19" s="13">
        <v>105275775.01000001</v>
      </c>
      <c r="E19" s="13"/>
      <c r="F19" s="13">
        <v>1364978562.6099999</v>
      </c>
    </row>
    <row r="20" spans="1:6" x14ac:dyDescent="0.2">
      <c r="A20" t="s">
        <v>2</v>
      </c>
      <c r="B20" s="13">
        <v>59269117.140000001</v>
      </c>
      <c r="C20" s="13"/>
      <c r="D20" s="13">
        <v>95992111.779999986</v>
      </c>
      <c r="E20" s="13"/>
      <c r="F20" s="13">
        <v>1242558240.6600001</v>
      </c>
    </row>
    <row r="21" spans="1:6" x14ac:dyDescent="0.2">
      <c r="A21" t="s">
        <v>0</v>
      </c>
      <c r="B21" s="13">
        <v>353069.23</v>
      </c>
      <c r="C21" s="13"/>
      <c r="D21" s="13">
        <v>827279.69</v>
      </c>
      <c r="E21" s="13"/>
      <c r="F21" s="13">
        <v>3398268.58</v>
      </c>
    </row>
    <row r="22" spans="1:6" x14ac:dyDescent="0.2">
      <c r="A22" t="s">
        <v>31</v>
      </c>
      <c r="B22" s="13">
        <v>5358051.6100000003</v>
      </c>
      <c r="C22" s="13"/>
      <c r="D22" s="13">
        <v>8456383.5399999991</v>
      </c>
      <c r="E22" s="13"/>
      <c r="F22" s="13">
        <v>119022053.37</v>
      </c>
    </row>
    <row r="23" spans="1:6" x14ac:dyDescent="0.2">
      <c r="A23" t="s">
        <v>25</v>
      </c>
      <c r="B23" s="13">
        <v>2946928.3854999999</v>
      </c>
      <c r="C23" s="13"/>
      <c r="D23" s="13">
        <v>4651010.9469999997</v>
      </c>
      <c r="E23" s="13"/>
      <c r="F23" s="13">
        <v>65462129.353500009</v>
      </c>
    </row>
    <row r="24" spans="1:6" x14ac:dyDescent="0.2">
      <c r="A24" t="s">
        <v>32</v>
      </c>
      <c r="B24" s="13">
        <v>2411123.2245</v>
      </c>
      <c r="C24" s="13"/>
      <c r="D24" s="13">
        <v>3805372.5929999999</v>
      </c>
      <c r="E24" s="13"/>
      <c r="F24" s="13">
        <v>53559924.016500004</v>
      </c>
    </row>
    <row r="25" spans="1:6" x14ac:dyDescent="0.2">
      <c r="A25" t="s">
        <v>5</v>
      </c>
      <c r="B25" s="28">
        <v>2143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65711066.969999999</v>
      </c>
      <c r="C29" s="13"/>
      <c r="D29" s="13">
        <v>103707654.26000001</v>
      </c>
      <c r="E29" s="13"/>
      <c r="F29" s="13">
        <v>1226256408.6600001</v>
      </c>
    </row>
    <row r="30" spans="1:6" x14ac:dyDescent="0.2">
      <c r="A30" t="s">
        <v>2</v>
      </c>
      <c r="B30" s="13">
        <v>59638371.129999995</v>
      </c>
      <c r="C30" s="13"/>
      <c r="D30" s="13">
        <v>94058801.25999999</v>
      </c>
      <c r="E30" s="13"/>
      <c r="F30" s="13">
        <v>1110048014.8099999</v>
      </c>
    </row>
    <row r="31" spans="1:6" x14ac:dyDescent="0.2">
      <c r="A31" t="s">
        <v>0</v>
      </c>
      <c r="B31" s="13">
        <v>429595.19</v>
      </c>
      <c r="C31" s="13"/>
      <c r="D31" s="13">
        <v>697969.43</v>
      </c>
      <c r="E31" s="13"/>
      <c r="F31" s="13">
        <v>5042206.0599999996</v>
      </c>
    </row>
    <row r="32" spans="1:6" x14ac:dyDescent="0.2">
      <c r="A32" t="s">
        <v>30</v>
      </c>
      <c r="B32" s="33">
        <v>0</v>
      </c>
      <c r="C32" s="13"/>
      <c r="D32" s="13">
        <v>0</v>
      </c>
      <c r="E32" s="13"/>
      <c r="F32" s="13">
        <v>10579.57</v>
      </c>
    </row>
    <row r="33" spans="1:6" x14ac:dyDescent="0.2">
      <c r="A33" t="s">
        <v>31</v>
      </c>
      <c r="B33" s="13">
        <v>5643100.6499999985</v>
      </c>
      <c r="C33" s="13"/>
      <c r="D33" s="13">
        <v>8950883.5700000003</v>
      </c>
      <c r="E33" s="13"/>
      <c r="F33" s="13">
        <v>111176767.35999998</v>
      </c>
    </row>
    <row r="34" spans="1:6" x14ac:dyDescent="0.2">
      <c r="A34" t="s">
        <v>25</v>
      </c>
      <c r="B34" s="13">
        <v>3103705.3574999995</v>
      </c>
      <c r="C34" s="13"/>
      <c r="D34" s="13">
        <v>4922985.9635000005</v>
      </c>
      <c r="E34" s="13"/>
      <c r="F34" s="13">
        <v>61147222.047999993</v>
      </c>
    </row>
    <row r="35" spans="1:6" x14ac:dyDescent="0.2">
      <c r="A35" t="s">
        <v>32</v>
      </c>
      <c r="B35" s="13">
        <v>2539395.2924999995</v>
      </c>
      <c r="C35" s="13"/>
      <c r="D35" s="13">
        <v>4027897.6065000002</v>
      </c>
      <c r="E35" s="13"/>
      <c r="F35" s="13">
        <v>50029545.311999992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81" t="s">
        <v>51</v>
      </c>
      <c r="B39" s="81"/>
      <c r="C39" s="81"/>
      <c r="D39" s="81"/>
      <c r="E39" s="81"/>
      <c r="F39" s="81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33368355.190000005</v>
      </c>
      <c r="C42" s="13"/>
      <c r="D42" s="13">
        <v>51853530.440000005</v>
      </c>
      <c r="E42" s="13"/>
      <c r="F42" s="13">
        <v>582687000.38999999</v>
      </c>
    </row>
    <row r="43" spans="1:6" x14ac:dyDescent="0.2">
      <c r="A43" t="s">
        <v>2</v>
      </c>
      <c r="B43" s="13">
        <v>30218454.960000001</v>
      </c>
      <c r="C43" s="13"/>
      <c r="D43" s="13">
        <v>47029213.319999993</v>
      </c>
      <c r="E43" s="13"/>
      <c r="F43" s="13">
        <v>528486951.66000003</v>
      </c>
    </row>
    <row r="44" spans="1:6" x14ac:dyDescent="0.2">
      <c r="A44" t="s">
        <v>0</v>
      </c>
      <c r="B44" s="13">
        <v>33517</v>
      </c>
      <c r="C44" s="13"/>
      <c r="D44" s="13">
        <v>42471.5</v>
      </c>
      <c r="E44" s="13"/>
      <c r="F44" s="13">
        <v>589982.91</v>
      </c>
    </row>
    <row r="45" spans="1:6" x14ac:dyDescent="0.2">
      <c r="A45" t="s">
        <v>31</v>
      </c>
      <c r="B45" s="13">
        <v>3116383.23</v>
      </c>
      <c r="C45" s="13"/>
      <c r="D45" s="13">
        <v>4781845.62</v>
      </c>
      <c r="E45" s="13"/>
      <c r="F45" s="13">
        <v>53610065.82</v>
      </c>
    </row>
    <row r="46" spans="1:6" x14ac:dyDescent="0.2">
      <c r="A46" t="s">
        <v>25</v>
      </c>
      <c r="B46" s="13">
        <v>1714010.7764999999</v>
      </c>
      <c r="C46" s="13"/>
      <c r="D46" s="13">
        <v>2630015.0910000005</v>
      </c>
      <c r="E46" s="13"/>
      <c r="F46" s="13">
        <v>29485536.201000001</v>
      </c>
    </row>
    <row r="47" spans="1:6" x14ac:dyDescent="0.2">
      <c r="A47" t="s">
        <v>32</v>
      </c>
      <c r="B47" s="13">
        <v>1402372.4534999998</v>
      </c>
      <c r="C47" s="13"/>
      <c r="D47" s="13">
        <v>2151830.5290000001</v>
      </c>
      <c r="E47" s="13"/>
      <c r="F47" s="13">
        <v>24124529.618999999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25" t="s">
        <v>74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2930008.5</v>
      </c>
      <c r="C52" s="13"/>
      <c r="D52" s="13">
        <v>2930008.5</v>
      </c>
      <c r="E52" s="13"/>
      <c r="F52" s="13">
        <v>2930008.5</v>
      </c>
    </row>
    <row r="53" spans="1:6" x14ac:dyDescent="0.2">
      <c r="A53" t="s">
        <v>2</v>
      </c>
      <c r="B53" s="13">
        <v>2659792.37</v>
      </c>
      <c r="C53" s="13"/>
      <c r="D53" s="13">
        <v>2659792.37</v>
      </c>
      <c r="E53" s="13"/>
      <c r="F53" s="13">
        <v>2659792.37</v>
      </c>
    </row>
    <row r="54" spans="1:6" x14ac:dyDescent="0.2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6" x14ac:dyDescent="0.2">
      <c r="A55" t="s">
        <v>31</v>
      </c>
      <c r="B55" s="13">
        <v>270216.13</v>
      </c>
      <c r="C55" s="13"/>
      <c r="D55" s="13">
        <v>270216.13</v>
      </c>
      <c r="E55" s="13"/>
      <c r="F55" s="13">
        <v>270216.13</v>
      </c>
    </row>
    <row r="56" spans="1:6" x14ac:dyDescent="0.2">
      <c r="A56" t="s">
        <v>25</v>
      </c>
      <c r="B56" s="13">
        <v>148618.87150000015</v>
      </c>
      <c r="C56" s="13"/>
      <c r="D56" s="13">
        <v>148618.87150000001</v>
      </c>
      <c r="E56" s="13"/>
      <c r="F56" s="13">
        <v>148618.87150000001</v>
      </c>
    </row>
    <row r="57" spans="1:6" x14ac:dyDescent="0.2">
      <c r="A57" t="s">
        <v>32</v>
      </c>
      <c r="B57" s="13">
        <v>121597.25850000011</v>
      </c>
      <c r="C57" s="13"/>
      <c r="D57" s="13">
        <v>121597.25850000001</v>
      </c>
      <c r="E57" s="13"/>
      <c r="F57" s="13">
        <v>121597.25850000001</v>
      </c>
    </row>
    <row r="58" spans="1:6" x14ac:dyDescent="0.2">
      <c r="A58" t="s">
        <v>5</v>
      </c>
      <c r="B58" s="28">
        <v>1738</v>
      </c>
      <c r="C58" s="13"/>
      <c r="D58" s="13"/>
      <c r="E58" s="13"/>
      <c r="F58" s="13"/>
    </row>
    <row r="59" spans="1:6" x14ac:dyDescent="0.2">
      <c r="B59" s="13"/>
      <c r="C59" s="13"/>
      <c r="D59" s="13"/>
      <c r="E59" s="13"/>
      <c r="F59" s="13"/>
    </row>
    <row r="60" spans="1:6" x14ac:dyDescent="0.2">
      <c r="B60" s="13"/>
      <c r="C60" s="13"/>
      <c r="D60" s="13"/>
      <c r="E60" s="13"/>
      <c r="F60" s="13"/>
    </row>
    <row r="61" spans="1:6" x14ac:dyDescent="0.2">
      <c r="A61" s="8" t="s">
        <v>6</v>
      </c>
      <c r="B61" s="13"/>
      <c r="C61" s="13"/>
      <c r="D61" s="13"/>
      <c r="E61" s="13"/>
      <c r="F61" s="13"/>
    </row>
    <row r="62" spans="1:6" x14ac:dyDescent="0.2">
      <c r="A62" t="s">
        <v>1</v>
      </c>
      <c r="B62" s="13">
        <v>204777155.67000002</v>
      </c>
      <c r="C62" s="13"/>
      <c r="D62" s="13">
        <v>320907151.48000002</v>
      </c>
      <c r="E62" s="13"/>
      <c r="F62" s="13">
        <v>3966391597.25</v>
      </c>
    </row>
    <row r="63" spans="1:6" x14ac:dyDescent="0.2">
      <c r="A63" t="s">
        <v>2</v>
      </c>
      <c r="B63" s="13">
        <v>186211930.94</v>
      </c>
      <c r="C63" s="13"/>
      <c r="D63" s="13">
        <v>291708900.5</v>
      </c>
      <c r="E63" s="13"/>
      <c r="F63" s="13">
        <v>3597880638.9899998</v>
      </c>
    </row>
    <row r="64" spans="1:6" x14ac:dyDescent="0.2">
      <c r="A64" t="s">
        <v>0</v>
      </c>
      <c r="B64" s="13">
        <v>816181.42</v>
      </c>
      <c r="C64" s="13"/>
      <c r="D64" s="13">
        <v>1567720.62</v>
      </c>
      <c r="E64" s="13"/>
      <c r="F64" s="13">
        <v>9036867.5500000007</v>
      </c>
    </row>
    <row r="65" spans="1:6" x14ac:dyDescent="0.2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">
      <c r="A66" t="s">
        <v>31</v>
      </c>
      <c r="B66" s="13">
        <v>17749043.309999999</v>
      </c>
      <c r="C66" s="13"/>
      <c r="D66" s="13">
        <v>27630530.359999996</v>
      </c>
      <c r="E66" s="13"/>
      <c r="F66" s="13">
        <v>359683822.31000006</v>
      </c>
    </row>
    <row r="67" spans="1:6" x14ac:dyDescent="0.2">
      <c r="A67" t="s">
        <v>25</v>
      </c>
      <c r="B67" s="13">
        <v>9761973.8204999994</v>
      </c>
      <c r="C67" s="13"/>
      <c r="D67" s="13">
        <v>15196791.697999999</v>
      </c>
      <c r="E67" s="13"/>
      <c r="F67" s="13">
        <v>197826102.27050006</v>
      </c>
    </row>
    <row r="68" spans="1:6" x14ac:dyDescent="0.2">
      <c r="A68" t="s">
        <v>32</v>
      </c>
      <c r="B68" s="13">
        <v>7987069.4894999992</v>
      </c>
      <c r="C68" s="13"/>
      <c r="D68" s="13">
        <v>12433738.661999999</v>
      </c>
      <c r="E68" s="13"/>
      <c r="F68" s="13">
        <v>161857720.03950003</v>
      </c>
    </row>
    <row r="69" spans="1:6" x14ac:dyDescent="0.2">
      <c r="A69" t="s">
        <v>5</v>
      </c>
      <c r="B69" s="18">
        <v>9734</v>
      </c>
    </row>
    <row r="72" spans="1:6" ht="76.5" customHeight="1" x14ac:dyDescent="0.2">
      <c r="A72" s="81" t="s">
        <v>51</v>
      </c>
      <c r="B72" s="81"/>
      <c r="C72" s="81"/>
      <c r="D72" s="81"/>
      <c r="E72" s="81"/>
      <c r="F72" s="81"/>
    </row>
    <row r="73" spans="1:6" x14ac:dyDescent="0.2">
      <c r="A73" s="29"/>
    </row>
    <row r="74" spans="1:6" x14ac:dyDescent="0.2">
      <c r="A74" s="29"/>
    </row>
    <row r="75" spans="1:6" x14ac:dyDescent="0.2">
      <c r="A75" s="29"/>
    </row>
    <row r="76" spans="1:6" x14ac:dyDescent="0.2">
      <c r="A76" s="29"/>
    </row>
  </sheetData>
  <mergeCells count="4">
    <mergeCell ref="A1:F1"/>
    <mergeCell ref="A2:F2"/>
    <mergeCell ref="A39:F39"/>
    <mergeCell ref="A72:F72"/>
  </mergeCells>
  <phoneticPr fontId="4" type="noConversion"/>
  <pageMargins left="0.75" right="0.75" top="1" bottom="1" header="0.5" footer="0.5"/>
  <pageSetup scale="90" orientation="portrait" r:id="rId1"/>
  <headerFooter alignWithMargins="0"/>
  <rowBreaks count="1" manualBreakCount="1">
    <brk id="40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4.42578125" style="1" bestFit="1" customWidth="1"/>
  </cols>
  <sheetData>
    <row r="1" spans="1:7" ht="60.75" customHeight="1" x14ac:dyDescent="0.2">
      <c r="A1" s="76"/>
      <c r="B1" s="76"/>
      <c r="C1" s="76"/>
      <c r="D1" s="76"/>
      <c r="E1" s="76"/>
      <c r="F1" s="76"/>
    </row>
    <row r="2" spans="1:7" ht="26.25" customHeight="1" x14ac:dyDescent="0.25">
      <c r="A2" s="77" t="s">
        <v>22</v>
      </c>
      <c r="B2" s="78"/>
      <c r="C2" s="78"/>
      <c r="D2" s="78"/>
      <c r="E2" s="78"/>
      <c r="F2" s="78"/>
    </row>
    <row r="3" spans="1:7" ht="26.25" customHeight="1" x14ac:dyDescent="0.2"/>
    <row r="4" spans="1:7" x14ac:dyDescent="0.2">
      <c r="B4" s="10"/>
      <c r="C4" s="10"/>
      <c r="D4" s="12" t="s">
        <v>14</v>
      </c>
      <c r="E4" s="10"/>
      <c r="F4" s="12" t="s">
        <v>13</v>
      </c>
    </row>
    <row r="5" spans="1:7" x14ac:dyDescent="0.2">
      <c r="A5" s="9"/>
      <c r="B5" s="9" t="s">
        <v>15</v>
      </c>
      <c r="C5" s="9"/>
      <c r="D5" s="11" t="s">
        <v>11</v>
      </c>
      <c r="F5" s="11" t="s">
        <v>8</v>
      </c>
      <c r="G5" s="2"/>
    </row>
    <row r="7" spans="1:7" x14ac:dyDescent="0.2">
      <c r="A7" s="8" t="s">
        <v>3</v>
      </c>
      <c r="B7" s="8"/>
      <c r="C7" s="8"/>
    </row>
    <row r="8" spans="1:7" x14ac:dyDescent="0.2">
      <c r="A8" t="s">
        <v>1</v>
      </c>
      <c r="B8" s="13">
        <v>35168565.269999996</v>
      </c>
      <c r="D8" s="13">
        <v>72308788.079999983</v>
      </c>
      <c r="F8" s="13">
        <v>72308788.079999983</v>
      </c>
      <c r="G8" s="22"/>
    </row>
    <row r="9" spans="1:7" x14ac:dyDescent="0.2">
      <c r="A9" t="s">
        <v>2</v>
      </c>
      <c r="B9" s="13">
        <v>31572270.079999998</v>
      </c>
      <c r="D9" s="13">
        <v>64881184.310000002</v>
      </c>
      <c r="F9" s="13">
        <v>64881184.310000002</v>
      </c>
      <c r="G9" s="22"/>
    </row>
    <row r="10" spans="1:7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7" x14ac:dyDescent="0.2">
      <c r="A11" t="s">
        <v>31</v>
      </c>
      <c r="B11" s="13">
        <f>+B8-B9-B10</f>
        <v>3596295.1899999976</v>
      </c>
      <c r="D11" s="13">
        <f>+D8-D9-D10</f>
        <v>7427603.7699999809</v>
      </c>
      <c r="F11" s="13">
        <f>+F8-F9-F10</f>
        <v>7427603.7699999809</v>
      </c>
      <c r="G11" s="22"/>
    </row>
    <row r="12" spans="1:7" x14ac:dyDescent="0.2">
      <c r="A12" t="s">
        <v>25</v>
      </c>
      <c r="B12" s="13">
        <v>1977962.3544999987</v>
      </c>
      <c r="D12" s="13">
        <v>4085182.0734999897</v>
      </c>
      <c r="F12" s="13">
        <v>4085182.0734999897</v>
      </c>
      <c r="G12" s="22"/>
    </row>
    <row r="13" spans="1:7" x14ac:dyDescent="0.2">
      <c r="A13" t="s">
        <v>32</v>
      </c>
      <c r="B13" s="13">
        <v>1618332.8354999989</v>
      </c>
      <c r="D13" s="13">
        <v>3342421.6964999917</v>
      </c>
      <c r="F13" s="13">
        <v>3342421.6964999917</v>
      </c>
      <c r="G13" s="22"/>
    </row>
    <row r="14" spans="1:7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F1"/>
    <mergeCell ref="A2:F2"/>
  </mergeCells>
  <phoneticPr fontId="4" type="noConversion"/>
  <pageMargins left="0.75" right="0.75" top="1" bottom="1" header="0.5" footer="0.5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workbookViewId="0">
      <selection activeCell="A8" sqref="A8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17.28515625" bestFit="1" customWidth="1"/>
    <col min="5" max="5" width="3.7109375" customWidth="1"/>
    <col min="6" max="6" width="15.5703125" customWidth="1"/>
    <col min="7" max="7" width="3.7109375" customWidth="1"/>
    <col min="8" max="8" width="17.28515625" bestFit="1" customWidth="1"/>
  </cols>
  <sheetData>
    <row r="1" spans="1:8" ht="63" customHeight="1" x14ac:dyDescent="0.2">
      <c r="A1" s="83"/>
      <c r="B1" s="83"/>
      <c r="C1" s="83"/>
      <c r="D1" s="83"/>
      <c r="E1" s="83"/>
      <c r="F1" s="83"/>
      <c r="G1" s="83"/>
      <c r="H1" s="83"/>
    </row>
    <row r="2" spans="1:8" ht="18" x14ac:dyDescent="0.25">
      <c r="A2" s="77" t="s">
        <v>22</v>
      </c>
      <c r="B2" s="78"/>
      <c r="C2" s="78"/>
      <c r="D2" s="78"/>
      <c r="E2" s="78"/>
      <c r="F2" s="78"/>
      <c r="G2" s="78"/>
      <c r="H2" s="78"/>
    </row>
    <row r="3" spans="1:8" ht="18" x14ac:dyDescent="0.25">
      <c r="A3" s="14"/>
      <c r="B3" s="15"/>
      <c r="C3" s="15"/>
      <c r="D3" s="17"/>
      <c r="E3" s="17"/>
      <c r="F3" s="17"/>
      <c r="G3" s="17"/>
      <c r="H3" s="17"/>
    </row>
    <row r="4" spans="1:8" x14ac:dyDescent="0.2">
      <c r="B4" s="16" t="s">
        <v>55</v>
      </c>
      <c r="C4" s="10"/>
      <c r="D4" s="16" t="s">
        <v>67</v>
      </c>
      <c r="E4" s="10"/>
      <c r="F4" s="16" t="s">
        <v>72</v>
      </c>
      <c r="G4" s="10"/>
      <c r="H4" s="16" t="s">
        <v>28</v>
      </c>
    </row>
    <row r="5" spans="1:8" x14ac:dyDescent="0.2">
      <c r="A5" s="9"/>
      <c r="B5" s="11" t="s">
        <v>71</v>
      </c>
      <c r="C5" s="9"/>
      <c r="D5" s="11" t="s">
        <v>11</v>
      </c>
      <c r="F5" s="11" t="s">
        <v>61</v>
      </c>
      <c r="H5" s="11" t="s">
        <v>8</v>
      </c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36867284.939999998</v>
      </c>
      <c r="C8" s="13"/>
      <c r="D8" s="13">
        <v>157091053.13000003</v>
      </c>
      <c r="E8" s="13"/>
      <c r="F8" s="13">
        <v>19352696.240000002</v>
      </c>
      <c r="G8" s="13"/>
      <c r="H8" s="13">
        <v>751752130.06000006</v>
      </c>
    </row>
    <row r="9" spans="1:8" x14ac:dyDescent="0.2">
      <c r="A9" t="s">
        <v>2</v>
      </c>
      <c r="B9" s="13">
        <v>33352013.539999999</v>
      </c>
      <c r="C9" s="13"/>
      <c r="D9" s="13">
        <v>142176891.88999999</v>
      </c>
      <c r="E9" s="13"/>
      <c r="F9" s="13">
        <v>17542786.43</v>
      </c>
      <c r="G9" s="13"/>
      <c r="H9" s="13">
        <v>679701444.14999998</v>
      </c>
    </row>
    <row r="10" spans="1:8" x14ac:dyDescent="0.2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">
      <c r="A12" t="s">
        <v>31</v>
      </c>
      <c r="B12" s="13">
        <f>B8-B9</f>
        <v>3515271.3999999985</v>
      </c>
      <c r="C12" s="13"/>
      <c r="D12" s="13">
        <v>14914161.240000002</v>
      </c>
      <c r="E12" s="13"/>
      <c r="F12" s="13">
        <v>1809909.81</v>
      </c>
      <c r="G12" s="13"/>
      <c r="H12" s="13">
        <v>72243427.939999998</v>
      </c>
    </row>
    <row r="13" spans="1:8" x14ac:dyDescent="0.2">
      <c r="A13" t="s">
        <v>25</v>
      </c>
      <c r="B13" s="13">
        <f>B12*0.55</f>
        <v>1933399.2699999993</v>
      </c>
      <c r="C13" s="13"/>
      <c r="D13" s="13">
        <f>D12*0.55</f>
        <v>8202788.6820000019</v>
      </c>
      <c r="E13" s="13"/>
      <c r="F13" s="13">
        <f>F12*0.55</f>
        <v>995450.3955000001</v>
      </c>
      <c r="G13" s="13"/>
      <c r="H13" s="13">
        <f>H12*0.55</f>
        <v>39733885.366999999</v>
      </c>
    </row>
    <row r="14" spans="1:8" x14ac:dyDescent="0.2">
      <c r="A14" t="s">
        <v>32</v>
      </c>
      <c r="B14" s="13">
        <f>B12*0.45</f>
        <v>1581872.1299999994</v>
      </c>
      <c r="C14" s="13"/>
      <c r="D14" s="13">
        <f>D12*0.45</f>
        <v>6711372.5580000011</v>
      </c>
      <c r="E14" s="13"/>
      <c r="F14" s="13">
        <f>F12*0.45</f>
        <v>814459.41450000007</v>
      </c>
      <c r="G14" s="13"/>
      <c r="H14" s="13">
        <f>H12*0.45</f>
        <v>32509542.572999999</v>
      </c>
    </row>
    <row r="15" spans="1:8" x14ac:dyDescent="0.2">
      <c r="A15" t="s">
        <v>5</v>
      </c>
      <c r="B15" s="28">
        <v>1109</v>
      </c>
      <c r="C15" s="13"/>
      <c r="D15" s="13"/>
      <c r="E15" s="13"/>
      <c r="F15" s="13"/>
      <c r="G15" s="13"/>
      <c r="H15" s="13"/>
    </row>
    <row r="16" spans="1:8" x14ac:dyDescent="0.2">
      <c r="B16" s="13"/>
      <c r="C16" s="13"/>
      <c r="D16" s="13"/>
      <c r="E16" s="13"/>
      <c r="F16" s="13"/>
      <c r="G16" s="13"/>
      <c r="H16" s="13"/>
    </row>
    <row r="17" spans="1:8" x14ac:dyDescent="0.2">
      <c r="B17" s="13"/>
      <c r="C17" s="13"/>
      <c r="D17" s="13"/>
      <c r="E17" s="13"/>
      <c r="F17" s="13"/>
      <c r="G17" s="13"/>
      <c r="H17" s="13"/>
    </row>
    <row r="18" spans="1:8" x14ac:dyDescent="0.2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">
      <c r="A19" t="s">
        <v>1</v>
      </c>
      <c r="B19" s="13">
        <v>70461112.480000004</v>
      </c>
      <c r="C19" s="13"/>
      <c r="D19" s="13">
        <v>269119740.82999998</v>
      </c>
      <c r="E19" s="13"/>
      <c r="F19" s="13">
        <v>40295537.030000001</v>
      </c>
      <c r="G19" s="13"/>
      <c r="H19" s="13">
        <v>1299998324.6299999</v>
      </c>
    </row>
    <row r="20" spans="1:8" x14ac:dyDescent="0.2">
      <c r="A20" t="s">
        <v>2</v>
      </c>
      <c r="B20" s="13">
        <v>64322749.719999999</v>
      </c>
      <c r="C20" s="13"/>
      <c r="D20" s="13">
        <v>244909975.45000002</v>
      </c>
      <c r="E20" s="13"/>
      <c r="F20" s="13">
        <v>36722994.640000001</v>
      </c>
      <c r="G20" s="13"/>
      <c r="H20" s="13">
        <v>1183289123.5200002</v>
      </c>
    </row>
    <row r="21" spans="1:8" x14ac:dyDescent="0.2">
      <c r="A21" t="s">
        <v>0</v>
      </c>
      <c r="B21" s="13">
        <v>554318.6</v>
      </c>
      <c r="C21" s="13"/>
      <c r="D21" s="13">
        <v>1452528.14</v>
      </c>
      <c r="E21" s="13"/>
      <c r="F21" s="13">
        <v>474210.46</v>
      </c>
      <c r="G21" s="13"/>
      <c r="H21" s="13">
        <v>3045199.35</v>
      </c>
    </row>
    <row r="22" spans="1:8" x14ac:dyDescent="0.2">
      <c r="A22" t="s">
        <v>31</v>
      </c>
      <c r="B22" s="13">
        <f>B19-B20-B21</f>
        <v>5584044.1600000057</v>
      </c>
      <c r="C22" s="13"/>
      <c r="D22" s="13">
        <v>22757237.24000001</v>
      </c>
      <c r="E22" s="13"/>
      <c r="F22" s="13">
        <v>3098331.93</v>
      </c>
      <c r="G22" s="13"/>
      <c r="H22" s="13">
        <v>113664001.76000001</v>
      </c>
    </row>
    <row r="23" spans="1:8" x14ac:dyDescent="0.2">
      <c r="A23" t="s">
        <v>25</v>
      </c>
      <c r="B23" s="13">
        <f>B22*0.55</f>
        <v>3071224.2880000034</v>
      </c>
      <c r="C23" s="13"/>
      <c r="D23" s="13">
        <f>D22*0.55</f>
        <v>12516480.482000006</v>
      </c>
      <c r="E23" s="13"/>
      <c r="F23" s="13">
        <f>F22*0.55</f>
        <v>1704082.5615000003</v>
      </c>
      <c r="G23" s="13"/>
      <c r="H23" s="13">
        <f>H22*0.55</f>
        <v>62515200.96800001</v>
      </c>
    </row>
    <row r="24" spans="1:8" x14ac:dyDescent="0.2">
      <c r="A24" t="s">
        <v>32</v>
      </c>
      <c r="B24" s="13">
        <f>B22*0.45</f>
        <v>2512819.8720000028</v>
      </c>
      <c r="C24" s="13"/>
      <c r="D24" s="13">
        <f>D22*0.45</f>
        <v>10240756.758000005</v>
      </c>
      <c r="E24" s="13"/>
      <c r="F24" s="13">
        <f>F22*0.45</f>
        <v>1394249.3685000001</v>
      </c>
      <c r="G24" s="13"/>
      <c r="H24" s="13">
        <f>H22*0.45</f>
        <v>51148800.792000003</v>
      </c>
    </row>
    <row r="25" spans="1:8" x14ac:dyDescent="0.2">
      <c r="A25" t="s">
        <v>5</v>
      </c>
      <c r="B25" s="28">
        <v>2143</v>
      </c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A28" s="25" t="s">
        <v>41</v>
      </c>
      <c r="B28" s="13"/>
      <c r="C28" s="13"/>
      <c r="D28" s="13"/>
      <c r="E28" s="13"/>
      <c r="F28" s="13"/>
      <c r="G28" s="13"/>
      <c r="H28" s="13"/>
    </row>
    <row r="29" spans="1:8" x14ac:dyDescent="0.2">
      <c r="A29" t="s">
        <v>1</v>
      </c>
      <c r="B29" s="13">
        <v>75884476.859999999</v>
      </c>
      <c r="C29" s="13"/>
      <c r="D29" s="13">
        <v>294790544.52000004</v>
      </c>
      <c r="E29" s="13"/>
      <c r="F29" s="13">
        <v>37996587.289999999</v>
      </c>
      <c r="G29" s="13"/>
      <c r="H29" s="13">
        <v>1160545341.6900001</v>
      </c>
    </row>
    <row r="30" spans="1:8" x14ac:dyDescent="0.2">
      <c r="A30" t="s">
        <v>2</v>
      </c>
      <c r="B30" s="13">
        <v>68892176.159999996</v>
      </c>
      <c r="C30" s="13"/>
      <c r="D30" s="13">
        <v>267305496.94</v>
      </c>
      <c r="E30" s="13"/>
      <c r="F30" s="13">
        <v>34420430.129999995</v>
      </c>
      <c r="G30" s="13"/>
      <c r="H30" s="13">
        <v>1050409643.6799999</v>
      </c>
    </row>
    <row r="31" spans="1:8" x14ac:dyDescent="0.2">
      <c r="A31" t="s">
        <v>0</v>
      </c>
      <c r="B31" s="13">
        <v>789510.68</v>
      </c>
      <c r="C31" s="13"/>
      <c r="D31" s="13">
        <v>2477963.88</v>
      </c>
      <c r="E31" s="13"/>
      <c r="F31" s="13">
        <v>268374.24</v>
      </c>
      <c r="G31" s="13"/>
      <c r="H31" s="13">
        <v>4612610.87</v>
      </c>
    </row>
    <row r="32" spans="1:8" x14ac:dyDescent="0.2">
      <c r="A32" t="s">
        <v>30</v>
      </c>
      <c r="B32" s="13">
        <v>0</v>
      </c>
      <c r="C32" s="13"/>
      <c r="D32" s="13">
        <v>10579.57</v>
      </c>
      <c r="E32" s="13"/>
      <c r="F32" s="13">
        <v>0</v>
      </c>
      <c r="G32" s="13"/>
      <c r="H32" s="13">
        <v>10579.57</v>
      </c>
    </row>
    <row r="33" spans="1:8" x14ac:dyDescent="0.2">
      <c r="A33" t="s">
        <v>31</v>
      </c>
      <c r="B33" s="13">
        <f>B29-B30-B31</f>
        <v>6202790.0200000033</v>
      </c>
      <c r="C33" s="13"/>
      <c r="D33" s="13">
        <v>25017663.270000003</v>
      </c>
      <c r="E33" s="13"/>
      <c r="F33" s="13">
        <v>3307782.92</v>
      </c>
      <c r="G33" s="13"/>
      <c r="H33" s="13">
        <v>105533666.70999999</v>
      </c>
    </row>
    <row r="34" spans="1:8" x14ac:dyDescent="0.2">
      <c r="A34" t="s">
        <v>25</v>
      </c>
      <c r="B34" s="13">
        <f>B33*0.55</f>
        <v>3411534.5110000023</v>
      </c>
      <c r="C34" s="13"/>
      <c r="D34" s="13">
        <f>D33*0.55</f>
        <v>13759714.798500003</v>
      </c>
      <c r="E34" s="13"/>
      <c r="F34" s="13">
        <f>F33*0.55</f>
        <v>1819280.6060000001</v>
      </c>
      <c r="G34" s="13"/>
      <c r="H34" s="13">
        <f>H33*0.55</f>
        <v>58043516.690499999</v>
      </c>
    </row>
    <row r="35" spans="1:8" x14ac:dyDescent="0.2">
      <c r="A35" t="s">
        <v>32</v>
      </c>
      <c r="B35" s="13">
        <f>B33*0.45</f>
        <v>2791255.5090000015</v>
      </c>
      <c r="C35" s="13"/>
      <c r="D35" s="13">
        <f>D33*0.45</f>
        <v>11257948.471500002</v>
      </c>
      <c r="E35" s="13"/>
      <c r="F35" s="13">
        <f>F33*0.45</f>
        <v>1488502.314</v>
      </c>
      <c r="G35" s="13"/>
      <c r="H35" s="13">
        <f>H33*0.45</f>
        <v>47490150.019499995</v>
      </c>
    </row>
    <row r="36" spans="1:8" x14ac:dyDescent="0.2">
      <c r="A36" t="s">
        <v>5</v>
      </c>
      <c r="B36" s="26">
        <v>2744</v>
      </c>
      <c r="C36" s="13"/>
      <c r="D36" s="13"/>
      <c r="E36" s="13"/>
      <c r="F36" s="13"/>
      <c r="G36" s="13"/>
      <c r="H36" s="13"/>
    </row>
    <row r="37" spans="1:8" x14ac:dyDescent="0.2">
      <c r="B37" s="13"/>
      <c r="C37" s="13"/>
      <c r="D37" s="13"/>
      <c r="E37" s="13"/>
      <c r="F37" s="13"/>
      <c r="G37" s="13"/>
      <c r="H37" s="13"/>
    </row>
    <row r="38" spans="1:8" x14ac:dyDescent="0.2">
      <c r="B38" s="13"/>
      <c r="C38" s="13"/>
      <c r="D38" s="13"/>
      <c r="E38" s="13"/>
      <c r="F38" s="13"/>
      <c r="G38" s="13"/>
      <c r="H38" s="13"/>
    </row>
    <row r="39" spans="1:8" ht="75.95" customHeight="1" x14ac:dyDescent="0.2">
      <c r="A39" s="81" t="s">
        <v>51</v>
      </c>
      <c r="B39" s="81"/>
      <c r="C39" s="81"/>
      <c r="D39" s="81"/>
      <c r="E39" s="81"/>
      <c r="F39" s="81"/>
      <c r="G39" s="81"/>
      <c r="H39" s="81"/>
    </row>
    <row r="40" spans="1:8" x14ac:dyDescent="0.2">
      <c r="B40" s="13"/>
      <c r="C40" s="13"/>
      <c r="D40" s="13"/>
      <c r="E40" s="13"/>
      <c r="F40" s="13"/>
      <c r="G40" s="13"/>
      <c r="H40" s="13"/>
    </row>
    <row r="41" spans="1:8" x14ac:dyDescent="0.2">
      <c r="A41" s="25" t="s">
        <v>50</v>
      </c>
      <c r="B41" s="13"/>
      <c r="C41" s="13"/>
      <c r="D41" s="13"/>
      <c r="E41" s="13"/>
      <c r="F41" s="13"/>
      <c r="G41" s="13"/>
      <c r="H41" s="13"/>
    </row>
    <row r="42" spans="1:8" x14ac:dyDescent="0.2">
      <c r="A42" t="s">
        <v>1</v>
      </c>
      <c r="B42" s="13">
        <v>34207347.170000002</v>
      </c>
      <c r="C42" s="13"/>
      <c r="D42" s="13">
        <v>158509489.95000002</v>
      </c>
      <c r="E42" s="13"/>
      <c r="F42" s="13">
        <v>18485175.25</v>
      </c>
      <c r="G42" s="13"/>
      <c r="H42" s="13">
        <v>549318645.19999993</v>
      </c>
    </row>
    <row r="43" spans="1:8" x14ac:dyDescent="0.2">
      <c r="A43" t="s">
        <v>2</v>
      </c>
      <c r="B43" s="13">
        <v>30984529.350000001</v>
      </c>
      <c r="C43" s="13"/>
      <c r="D43" s="13">
        <v>143647762.39000002</v>
      </c>
      <c r="E43" s="13"/>
      <c r="F43" s="13">
        <v>16810758.359999999</v>
      </c>
      <c r="G43" s="13"/>
      <c r="H43" s="13">
        <v>498268496.70000005</v>
      </c>
    </row>
    <row r="44" spans="1:8" x14ac:dyDescent="0.2">
      <c r="A44" t="s">
        <v>0</v>
      </c>
      <c r="B44" s="13">
        <v>33833</v>
      </c>
      <c r="C44" s="13"/>
      <c r="D44" s="13">
        <v>387231.5</v>
      </c>
      <c r="E44" s="13"/>
      <c r="F44" s="13">
        <v>8954.5</v>
      </c>
      <c r="G44" s="13"/>
      <c r="H44" s="13">
        <v>556465.91</v>
      </c>
    </row>
    <row r="45" spans="1:8" x14ac:dyDescent="0.2">
      <c r="A45" t="s">
        <v>31</v>
      </c>
      <c r="B45" s="13">
        <f>B42-B43-B44</f>
        <v>3188984.8200000003</v>
      </c>
      <c r="C45" s="13"/>
      <c r="D45" s="13">
        <v>14474496.059999999</v>
      </c>
      <c r="E45" s="13"/>
      <c r="F45" s="13">
        <v>1665462.39</v>
      </c>
      <c r="G45" s="13"/>
      <c r="H45" s="13">
        <v>50493682.590000004</v>
      </c>
    </row>
    <row r="46" spans="1:8" x14ac:dyDescent="0.2">
      <c r="A46" t="s">
        <v>25</v>
      </c>
      <c r="B46" s="13">
        <f>B45*0.55</f>
        <v>1753941.6510000003</v>
      </c>
      <c r="C46" s="13"/>
      <c r="D46" s="13">
        <f>D45*0.55</f>
        <v>7960972.8329999996</v>
      </c>
      <c r="E46" s="13"/>
      <c r="F46" s="13">
        <f>F45*0.55</f>
        <v>916004.31449999998</v>
      </c>
      <c r="G46" s="13"/>
      <c r="H46" s="13">
        <f>H45*0.55</f>
        <v>27771525.424500003</v>
      </c>
    </row>
    <row r="47" spans="1:8" x14ac:dyDescent="0.2">
      <c r="A47" t="s">
        <v>32</v>
      </c>
      <c r="B47" s="13">
        <f>B45*0.45</f>
        <v>1435043.1690000002</v>
      </c>
      <c r="C47" s="13"/>
      <c r="D47" s="13">
        <f>D45*0.45</f>
        <v>6513523.227</v>
      </c>
      <c r="E47" s="13"/>
      <c r="F47" s="13">
        <f>F45*0.45</f>
        <v>749458.07549999992</v>
      </c>
      <c r="G47" s="13"/>
      <c r="H47" s="13">
        <f>H45*0.45</f>
        <v>22722157.165500004</v>
      </c>
    </row>
    <row r="48" spans="1:8" x14ac:dyDescent="0.2">
      <c r="A48" t="s">
        <v>5</v>
      </c>
      <c r="B48" s="28">
        <v>2000</v>
      </c>
      <c r="C48" s="13"/>
      <c r="D48" s="13"/>
      <c r="E48" s="13"/>
      <c r="F48" s="13"/>
      <c r="G48" s="13"/>
      <c r="H48" s="13"/>
    </row>
    <row r="49" spans="1:8" x14ac:dyDescent="0.2">
      <c r="B49" s="13"/>
      <c r="C49" s="13"/>
      <c r="D49" s="13"/>
      <c r="E49" s="13"/>
      <c r="F49" s="13"/>
      <c r="G49" s="13"/>
      <c r="H49" s="13"/>
    </row>
    <row r="50" spans="1:8" x14ac:dyDescent="0.2">
      <c r="B50" s="13"/>
      <c r="C50" s="13"/>
      <c r="D50" s="13"/>
      <c r="E50" s="13"/>
      <c r="F50" s="13"/>
      <c r="G50" s="13"/>
      <c r="H50" s="13"/>
    </row>
    <row r="51" spans="1:8" x14ac:dyDescent="0.2">
      <c r="A51" s="8" t="s">
        <v>6</v>
      </c>
      <c r="B51" s="13"/>
      <c r="C51" s="13"/>
      <c r="D51" s="13"/>
      <c r="E51" s="13"/>
      <c r="F51" s="13"/>
      <c r="G51" s="13"/>
      <c r="H51" s="13"/>
    </row>
    <row r="52" spans="1:8" x14ac:dyDescent="0.2">
      <c r="A52" t="s">
        <v>1</v>
      </c>
      <c r="B52" s="13">
        <f>B42+B29+B19+B8</f>
        <v>217420221.44999999</v>
      </c>
      <c r="C52" s="13"/>
      <c r="D52" s="13">
        <v>879510828.42999995</v>
      </c>
      <c r="E52" s="13"/>
      <c r="F52" s="13">
        <v>116129995.81</v>
      </c>
      <c r="G52" s="13"/>
      <c r="H52" s="13">
        <v>3761614441.5799999</v>
      </c>
    </row>
    <row r="53" spans="1:8" x14ac:dyDescent="0.2">
      <c r="A53" t="s">
        <v>2</v>
      </c>
      <c r="B53" s="13">
        <f>B43+B30+B20+B9</f>
        <v>197551468.76999998</v>
      </c>
      <c r="C53" s="13"/>
      <c r="D53" s="13">
        <v>798040126.66999996</v>
      </c>
      <c r="E53" s="13"/>
      <c r="F53" s="13">
        <v>105496969.56</v>
      </c>
      <c r="G53" s="13"/>
      <c r="H53" s="13">
        <v>3411668708.0499997</v>
      </c>
    </row>
    <row r="54" spans="1:8" x14ac:dyDescent="0.2">
      <c r="A54" t="s">
        <v>0</v>
      </c>
      <c r="B54" s="13">
        <f>B44+B31+B21+B10</f>
        <v>1377662.28</v>
      </c>
      <c r="C54" s="13"/>
      <c r="D54" s="13">
        <v>4317723.5199999996</v>
      </c>
      <c r="E54" s="13"/>
      <c r="F54" s="13">
        <v>751539.19999999995</v>
      </c>
      <c r="G54" s="13"/>
      <c r="H54" s="13">
        <v>8220686.1299999999</v>
      </c>
    </row>
    <row r="55" spans="1:8" x14ac:dyDescent="0.2">
      <c r="A55" t="s">
        <v>30</v>
      </c>
      <c r="B55" s="13">
        <v>0</v>
      </c>
      <c r="C55" s="13"/>
      <c r="D55" s="13">
        <v>10579.57</v>
      </c>
      <c r="E55" s="13"/>
      <c r="F55" s="13">
        <v>0</v>
      </c>
      <c r="G55" s="13"/>
      <c r="H55" s="13">
        <v>209731.6</v>
      </c>
    </row>
    <row r="56" spans="1:8" x14ac:dyDescent="0.2">
      <c r="A56" t="s">
        <v>31</v>
      </c>
      <c r="B56" s="13">
        <f>B52-B53-B54</f>
        <v>18491090.400000006</v>
      </c>
      <c r="C56" s="13"/>
      <c r="D56" s="13">
        <v>77163557.810000032</v>
      </c>
      <c r="E56" s="13"/>
      <c r="F56" s="13">
        <v>9881487.0499999989</v>
      </c>
      <c r="G56" s="13"/>
      <c r="H56" s="13">
        <v>341934779.00000006</v>
      </c>
    </row>
    <row r="57" spans="1:8" x14ac:dyDescent="0.2">
      <c r="A57" t="s">
        <v>25</v>
      </c>
      <c r="B57" s="13">
        <f>B56*0.55</f>
        <v>10170099.720000004</v>
      </c>
      <c r="C57" s="13"/>
      <c r="D57" s="13">
        <f>D56*0.55</f>
        <v>42439956.795500018</v>
      </c>
      <c r="E57" s="13"/>
      <c r="F57" s="13">
        <f>F56*0.55</f>
        <v>5434817.8774999995</v>
      </c>
      <c r="G57" s="13"/>
      <c r="H57" s="13">
        <f>H56*0.55</f>
        <v>188064128.45000005</v>
      </c>
    </row>
    <row r="58" spans="1:8" x14ac:dyDescent="0.2">
      <c r="A58" t="s">
        <v>32</v>
      </c>
      <c r="B58" s="13">
        <f>B56*0.45</f>
        <v>8320990.6800000025</v>
      </c>
      <c r="C58" s="13"/>
      <c r="D58" s="13">
        <f>D56*0.45</f>
        <v>34723601.014500014</v>
      </c>
      <c r="E58" s="13"/>
      <c r="F58" s="13">
        <f>F56*0.45</f>
        <v>4446669.1724999994</v>
      </c>
      <c r="G58" s="13"/>
      <c r="H58" s="13">
        <f>H56*0.45</f>
        <v>153870650.55000004</v>
      </c>
    </row>
    <row r="59" spans="1:8" x14ac:dyDescent="0.2">
      <c r="A59" t="s">
        <v>5</v>
      </c>
      <c r="B59" s="26">
        <v>7996</v>
      </c>
    </row>
    <row r="60" spans="1:8" x14ac:dyDescent="0.2">
      <c r="B60" s="28"/>
    </row>
    <row r="62" spans="1:8" ht="76.5" customHeight="1" x14ac:dyDescent="0.2">
      <c r="A62" s="81" t="s">
        <v>51</v>
      </c>
      <c r="B62" s="81"/>
      <c r="C62" s="81"/>
      <c r="D62" s="81"/>
      <c r="E62" s="81"/>
      <c r="F62" s="81"/>
      <c r="G62" s="81"/>
      <c r="H62" s="81"/>
    </row>
    <row r="63" spans="1:8" x14ac:dyDescent="0.2">
      <c r="A63" s="29"/>
    </row>
    <row r="64" spans="1:8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H1"/>
    <mergeCell ref="A2:H2"/>
    <mergeCell ref="A39:H39"/>
    <mergeCell ref="A62:H62"/>
  </mergeCells>
  <phoneticPr fontId="4" type="noConversion"/>
  <pageMargins left="0.75" right="0.75" top="1" bottom="1" header="0.5" footer="0.5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sqref="A1:F1"/>
    </sheetView>
  </sheetViews>
  <sheetFormatPr defaultRowHeight="12.75" x14ac:dyDescent="0.2"/>
  <cols>
    <col min="1" max="1" width="24" customWidth="1"/>
    <col min="2" max="2" width="18.7109375" customWidth="1"/>
    <col min="3" max="3" width="4" customWidth="1"/>
    <col min="4" max="4" width="24.42578125" bestFit="1" customWidth="1"/>
    <col min="5" max="5" width="3.7109375" customWidth="1"/>
    <col min="6" max="6" width="25.5703125" bestFit="1" customWidth="1"/>
  </cols>
  <sheetData>
    <row r="1" spans="1:6" ht="63" customHeight="1" x14ac:dyDescent="0.2">
      <c r="A1" s="83"/>
      <c r="B1" s="83"/>
      <c r="C1" s="83"/>
      <c r="D1" s="83"/>
      <c r="E1" s="83"/>
      <c r="F1" s="83"/>
    </row>
    <row r="2" spans="1:6" ht="18" x14ac:dyDescent="0.25">
      <c r="A2" s="77" t="s">
        <v>22</v>
      </c>
      <c r="B2" s="78"/>
      <c r="C2" s="78"/>
      <c r="D2" s="78"/>
      <c r="E2" s="78"/>
      <c r="F2" s="78"/>
    </row>
    <row r="3" spans="1:6" ht="18" x14ac:dyDescent="0.25">
      <c r="A3" s="14"/>
      <c r="B3" s="15"/>
      <c r="C3" s="15"/>
      <c r="D3" s="17"/>
      <c r="E3" s="17"/>
      <c r="F3" s="17"/>
    </row>
    <row r="4" spans="1:6" x14ac:dyDescent="0.2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">
      <c r="A5" s="9"/>
      <c r="B5" s="11" t="s">
        <v>70</v>
      </c>
      <c r="C5" s="9"/>
      <c r="D5" s="11" t="s">
        <v>11</v>
      </c>
      <c r="F5" s="11" t="s">
        <v>8</v>
      </c>
    </row>
    <row r="6" spans="1:6" x14ac:dyDescent="0.2">
      <c r="D6" t="s">
        <v>63</v>
      </c>
    </row>
    <row r="7" spans="1:6" x14ac:dyDescent="0.2">
      <c r="A7" s="8" t="s">
        <v>3</v>
      </c>
      <c r="B7" s="8"/>
      <c r="C7" s="8"/>
    </row>
    <row r="8" spans="1:6" x14ac:dyDescent="0.2">
      <c r="A8" t="s">
        <v>1</v>
      </c>
      <c r="B8" s="13">
        <v>33960989.640000001</v>
      </c>
      <c r="C8" s="13"/>
      <c r="D8" s="13">
        <v>139576464.43000001</v>
      </c>
      <c r="E8" s="13"/>
      <c r="F8" s="13">
        <v>714884845.12000012</v>
      </c>
    </row>
    <row r="9" spans="1:6" x14ac:dyDescent="0.2">
      <c r="A9" t="s">
        <v>2</v>
      </c>
      <c r="B9" s="13">
        <v>30809077.290000003</v>
      </c>
      <c r="C9" s="13"/>
      <c r="D9" s="13">
        <v>126367664.78</v>
      </c>
      <c r="E9" s="13"/>
      <c r="F9" s="13">
        <v>646349430.61000001</v>
      </c>
    </row>
    <row r="10" spans="1:6" x14ac:dyDescent="0.2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">
      <c r="A12" t="s">
        <v>31</v>
      </c>
      <c r="B12" s="13">
        <v>3151912.35</v>
      </c>
      <c r="C12" s="13"/>
      <c r="D12" s="13">
        <v>13208799.650000002</v>
      </c>
      <c r="E12" s="13"/>
      <c r="F12" s="13">
        <v>68728156.540000007</v>
      </c>
    </row>
    <row r="13" spans="1:6" x14ac:dyDescent="0.2">
      <c r="A13" t="s">
        <v>25</v>
      </c>
      <c r="B13" s="13">
        <v>1733551.7924999988</v>
      </c>
      <c r="C13" s="13"/>
      <c r="D13" s="13">
        <v>7264839.807500002</v>
      </c>
      <c r="E13" s="13"/>
      <c r="F13" s="13">
        <v>37800486.09700001</v>
      </c>
    </row>
    <row r="14" spans="1:6" x14ac:dyDescent="0.2">
      <c r="A14" t="s">
        <v>32</v>
      </c>
      <c r="B14" s="13">
        <v>1418360.5574999989</v>
      </c>
      <c r="C14" s="13"/>
      <c r="D14" s="13">
        <v>5943959.8425000012</v>
      </c>
      <c r="E14" s="13"/>
      <c r="F14" s="13">
        <v>30927670.443000004</v>
      </c>
    </row>
    <row r="15" spans="1:6" x14ac:dyDescent="0.2">
      <c r="A15" t="s">
        <v>5</v>
      </c>
      <c r="B15" s="28">
        <v>1109</v>
      </c>
      <c r="C15" s="13"/>
      <c r="D15" s="28"/>
      <c r="E15" s="13"/>
      <c r="F15" s="13"/>
    </row>
    <row r="16" spans="1:6" x14ac:dyDescent="0.2">
      <c r="B16" s="13"/>
      <c r="C16" s="13"/>
      <c r="D16" s="13"/>
      <c r="E16" s="13"/>
      <c r="F16" s="13"/>
    </row>
    <row r="17" spans="1:6" x14ac:dyDescent="0.2">
      <c r="B17" s="13"/>
      <c r="C17" s="13"/>
      <c r="D17" s="13"/>
      <c r="E17" s="13"/>
      <c r="F17" s="13"/>
    </row>
    <row r="18" spans="1:6" x14ac:dyDescent="0.2">
      <c r="A18" s="8" t="s">
        <v>4</v>
      </c>
      <c r="B18" s="13"/>
      <c r="C18" s="13"/>
      <c r="D18" s="13"/>
      <c r="E18" s="13"/>
      <c r="F18" s="13"/>
    </row>
    <row r="19" spans="1:6" x14ac:dyDescent="0.2">
      <c r="A19" t="s">
        <v>1</v>
      </c>
      <c r="B19" s="13">
        <v>59392269.710000001</v>
      </c>
      <c r="C19" s="13"/>
      <c r="D19" s="13">
        <v>238954165.37999997</v>
      </c>
      <c r="E19" s="13"/>
      <c r="F19" s="13">
        <v>1229537212.1499999</v>
      </c>
    </row>
    <row r="20" spans="1:6" x14ac:dyDescent="0.2">
      <c r="A20" t="s">
        <v>2</v>
      </c>
      <c r="B20" s="13">
        <v>54147599.589999996</v>
      </c>
      <c r="C20" s="13"/>
      <c r="D20" s="13">
        <v>217310220.37</v>
      </c>
      <c r="E20" s="13"/>
      <c r="F20" s="13">
        <v>1118966373.8000002</v>
      </c>
    </row>
    <row r="21" spans="1:6" x14ac:dyDescent="0.2">
      <c r="A21" t="s">
        <v>0</v>
      </c>
      <c r="B21" s="13">
        <v>234669.5</v>
      </c>
      <c r="C21" s="13"/>
      <c r="D21" s="13">
        <v>1372420</v>
      </c>
      <c r="E21" s="13"/>
      <c r="F21" s="13">
        <v>2490880.75</v>
      </c>
    </row>
    <row r="22" spans="1:6" x14ac:dyDescent="0.2">
      <c r="A22" t="s">
        <v>31</v>
      </c>
      <c r="B22" s="13">
        <v>5010000.62</v>
      </c>
      <c r="C22" s="13"/>
      <c r="D22" s="13">
        <v>20271525.010000005</v>
      </c>
      <c r="E22" s="13"/>
      <c r="F22" s="13">
        <v>108079957.60000001</v>
      </c>
    </row>
    <row r="23" spans="1:6" x14ac:dyDescent="0.2">
      <c r="A23" t="s">
        <v>25</v>
      </c>
      <c r="B23" s="13">
        <v>2755500.3410000028</v>
      </c>
      <c r="C23" s="13"/>
      <c r="D23" s="13">
        <v>11149338.755500004</v>
      </c>
      <c r="E23" s="13"/>
      <c r="F23" s="13">
        <v>59443976.680000007</v>
      </c>
    </row>
    <row r="24" spans="1:6" x14ac:dyDescent="0.2">
      <c r="A24" t="s">
        <v>32</v>
      </c>
      <c r="B24" s="13">
        <v>2254500.2790000024</v>
      </c>
      <c r="C24" s="13"/>
      <c r="D24" s="13">
        <v>9122186.2545000035</v>
      </c>
      <c r="E24" s="13"/>
      <c r="F24" s="13">
        <v>48635980.920000002</v>
      </c>
    </row>
    <row r="25" spans="1:6" x14ac:dyDescent="0.2">
      <c r="A25" t="s">
        <v>5</v>
      </c>
      <c r="B25" s="28">
        <v>2143</v>
      </c>
      <c r="C25" s="13"/>
      <c r="D25" s="28"/>
      <c r="E25" s="13"/>
      <c r="F25" s="13"/>
    </row>
    <row r="26" spans="1:6" x14ac:dyDescent="0.2">
      <c r="B26" s="13"/>
      <c r="C26" s="13"/>
      <c r="D26" s="13"/>
      <c r="E26" s="13"/>
      <c r="F26" s="13"/>
    </row>
    <row r="27" spans="1:6" x14ac:dyDescent="0.2">
      <c r="B27" s="32"/>
      <c r="C27" s="13"/>
      <c r="D27" s="32"/>
      <c r="E27" s="13"/>
      <c r="F27" s="32"/>
    </row>
    <row r="28" spans="1:6" x14ac:dyDescent="0.2">
      <c r="A28" s="25" t="s">
        <v>41</v>
      </c>
      <c r="B28" s="13"/>
      <c r="C28" s="13"/>
      <c r="D28" s="13"/>
      <c r="E28" s="13"/>
      <c r="F28" s="13"/>
    </row>
    <row r="29" spans="1:6" x14ac:dyDescent="0.2">
      <c r="A29" t="s">
        <v>1</v>
      </c>
      <c r="B29" s="13">
        <v>67552283.939999998</v>
      </c>
      <c r="C29" s="13"/>
      <c r="D29" s="13">
        <v>256902654.94999999</v>
      </c>
      <c r="E29" s="13"/>
      <c r="F29" s="13">
        <v>1084660864.8299999</v>
      </c>
    </row>
    <row r="30" spans="1:6" x14ac:dyDescent="0.2">
      <c r="A30" t="s">
        <v>2</v>
      </c>
      <c r="B30" s="13">
        <v>61273375.530000001</v>
      </c>
      <c r="C30" s="13"/>
      <c r="D30" s="13">
        <v>232833750.91</v>
      </c>
      <c r="E30" s="13"/>
      <c r="F30" s="13">
        <v>981517467.51999998</v>
      </c>
    </row>
    <row r="31" spans="1:6" x14ac:dyDescent="0.2">
      <c r="A31" t="s">
        <v>0</v>
      </c>
      <c r="B31" s="13">
        <v>657174.44999999995</v>
      </c>
      <c r="C31" s="13"/>
      <c r="D31" s="13">
        <v>1956827.44</v>
      </c>
      <c r="E31" s="13"/>
      <c r="F31" s="13">
        <v>3823100.19</v>
      </c>
    </row>
    <row r="32" spans="1:6" x14ac:dyDescent="0.2">
      <c r="A32" t="s">
        <v>30</v>
      </c>
      <c r="B32" s="33">
        <v>0</v>
      </c>
      <c r="C32" s="13"/>
      <c r="D32" s="13">
        <v>10579.57</v>
      </c>
      <c r="E32" s="13"/>
      <c r="F32" s="13">
        <v>10579.57</v>
      </c>
    </row>
    <row r="33" spans="1:6" x14ac:dyDescent="0.2">
      <c r="A33" t="s">
        <v>31</v>
      </c>
      <c r="B33" s="13">
        <v>5621733.9599999962</v>
      </c>
      <c r="C33" s="13"/>
      <c r="D33" s="13">
        <v>22122656.170000002</v>
      </c>
      <c r="E33" s="13"/>
      <c r="F33" s="13">
        <v>99330876.689999983</v>
      </c>
    </row>
    <row r="34" spans="1:6" x14ac:dyDescent="0.2">
      <c r="A34" t="s">
        <v>25</v>
      </c>
      <c r="B34" s="13">
        <v>3091953.677999998</v>
      </c>
      <c r="C34" s="13"/>
      <c r="D34" s="13">
        <v>12167460.893500002</v>
      </c>
      <c r="E34" s="13"/>
      <c r="F34" s="13">
        <v>54631982.179499991</v>
      </c>
    </row>
    <row r="35" spans="1:6" x14ac:dyDescent="0.2">
      <c r="A35" t="s">
        <v>32</v>
      </c>
      <c r="B35" s="13">
        <v>2529780.2819999983</v>
      </c>
      <c r="C35" s="13"/>
      <c r="D35" s="13">
        <v>9955195.2765000015</v>
      </c>
      <c r="E35" s="13"/>
      <c r="F35" s="13">
        <v>44698894.510499991</v>
      </c>
    </row>
    <row r="36" spans="1:6" x14ac:dyDescent="0.2">
      <c r="A36" t="s">
        <v>5</v>
      </c>
      <c r="B36" s="31">
        <v>2744</v>
      </c>
      <c r="C36" s="13"/>
      <c r="D36" s="31"/>
      <c r="E36" s="13"/>
      <c r="F36" s="13"/>
    </row>
    <row r="37" spans="1:6" x14ac:dyDescent="0.2">
      <c r="B37" s="13"/>
      <c r="C37" s="13"/>
      <c r="D37" s="13"/>
      <c r="E37" s="13"/>
      <c r="F37" s="13"/>
    </row>
    <row r="38" spans="1:6" x14ac:dyDescent="0.2">
      <c r="B38" s="13"/>
      <c r="C38" s="13"/>
      <c r="D38" s="13"/>
      <c r="E38" s="13"/>
      <c r="F38" s="13"/>
    </row>
    <row r="39" spans="1:6" ht="75.75" customHeight="1" x14ac:dyDescent="0.2">
      <c r="A39" s="81" t="s">
        <v>51</v>
      </c>
      <c r="B39" s="81"/>
      <c r="C39" s="81"/>
      <c r="D39" s="81"/>
      <c r="E39" s="81"/>
      <c r="F39" s="81"/>
    </row>
    <row r="40" spans="1:6" x14ac:dyDescent="0.2">
      <c r="B40" s="13"/>
      <c r="C40" s="13"/>
      <c r="D40" s="13"/>
      <c r="E40" s="13"/>
      <c r="F40" s="13"/>
    </row>
    <row r="41" spans="1:6" x14ac:dyDescent="0.2">
      <c r="A41" s="25" t="s">
        <v>50</v>
      </c>
      <c r="B41" s="13"/>
      <c r="C41" s="13"/>
      <c r="D41" s="13"/>
      <c r="E41" s="13"/>
      <c r="F41" s="13"/>
    </row>
    <row r="42" spans="1:6" x14ac:dyDescent="0.2">
      <c r="A42" t="s">
        <v>1</v>
      </c>
      <c r="B42" s="13">
        <v>36650049.43</v>
      </c>
      <c r="C42" s="13"/>
      <c r="D42" s="13">
        <v>142787318.03</v>
      </c>
      <c r="E42" s="13"/>
      <c r="F42" s="13">
        <v>515111298.02999985</v>
      </c>
    </row>
    <row r="43" spans="1:6" x14ac:dyDescent="0.2">
      <c r="A43" t="s">
        <v>2</v>
      </c>
      <c r="B43" s="13">
        <v>33252624.220000003</v>
      </c>
      <c r="C43" s="13"/>
      <c r="D43" s="13">
        <v>129473991.40000001</v>
      </c>
      <c r="E43" s="13"/>
      <c r="F43" s="13">
        <v>467283967.35000002</v>
      </c>
    </row>
    <row r="44" spans="1:6" x14ac:dyDescent="0.2">
      <c r="A44" t="s">
        <v>0</v>
      </c>
      <c r="B44" s="13">
        <v>53006.75</v>
      </c>
      <c r="C44" s="13"/>
      <c r="D44" s="13">
        <v>362353</v>
      </c>
      <c r="E44" s="13"/>
      <c r="F44" s="13">
        <v>522632.91</v>
      </c>
    </row>
    <row r="45" spans="1:6" x14ac:dyDescent="0.2">
      <c r="A45" t="s">
        <v>31</v>
      </c>
      <c r="B45" s="13">
        <v>3344418.46</v>
      </c>
      <c r="C45" s="13"/>
      <c r="D45" s="13">
        <v>12950973.629999999</v>
      </c>
      <c r="E45" s="13"/>
      <c r="F45" s="13">
        <v>47304697.770000011</v>
      </c>
    </row>
    <row r="46" spans="1:6" x14ac:dyDescent="0.2">
      <c r="A46" t="s">
        <v>25</v>
      </c>
      <c r="B46" s="13">
        <v>1839430.1529999985</v>
      </c>
      <c r="C46" s="13"/>
      <c r="D46" s="13">
        <v>7123035.4965000004</v>
      </c>
      <c r="E46" s="13"/>
      <c r="F46" s="13">
        <v>26017583.773500007</v>
      </c>
    </row>
    <row r="47" spans="1:6" x14ac:dyDescent="0.2">
      <c r="A47" t="s">
        <v>32</v>
      </c>
      <c r="B47" s="13">
        <v>1504988.3069999989</v>
      </c>
      <c r="C47" s="13"/>
      <c r="D47" s="13">
        <v>5827938.1334999995</v>
      </c>
      <c r="E47" s="13"/>
      <c r="F47" s="13">
        <v>21287113.996500004</v>
      </c>
    </row>
    <row r="48" spans="1:6" x14ac:dyDescent="0.2">
      <c r="A48" t="s">
        <v>5</v>
      </c>
      <c r="B48" s="28">
        <v>2000</v>
      </c>
      <c r="C48" s="13"/>
      <c r="D48" s="28"/>
      <c r="E48" s="13"/>
      <c r="F48" s="13"/>
    </row>
    <row r="49" spans="1:6" x14ac:dyDescent="0.2">
      <c r="B49" s="13"/>
      <c r="C49" s="13"/>
      <c r="D49" s="13"/>
      <c r="E49" s="13"/>
      <c r="F49" s="13"/>
    </row>
    <row r="50" spans="1:6" x14ac:dyDescent="0.2">
      <c r="B50" s="13"/>
      <c r="C50" s="13"/>
      <c r="D50" s="13"/>
      <c r="E50" s="13"/>
      <c r="F50" s="13"/>
    </row>
    <row r="51" spans="1:6" x14ac:dyDescent="0.2">
      <c r="A51" s="8" t="s">
        <v>6</v>
      </c>
      <c r="B51" s="13"/>
      <c r="C51" s="13"/>
      <c r="D51" s="13"/>
      <c r="E51" s="13"/>
      <c r="F51" s="13"/>
    </row>
    <row r="52" spans="1:6" x14ac:dyDescent="0.2">
      <c r="A52" t="s">
        <v>1</v>
      </c>
      <c r="B52" s="13">
        <v>197555592.72</v>
      </c>
      <c r="C52" s="13"/>
      <c r="D52" s="13">
        <v>778220602.78999996</v>
      </c>
      <c r="E52" s="13"/>
      <c r="F52" s="13">
        <v>3544194220.1300001</v>
      </c>
    </row>
    <row r="53" spans="1:6" x14ac:dyDescent="0.2">
      <c r="A53" t="s">
        <v>2</v>
      </c>
      <c r="B53" s="13">
        <v>179482676.63</v>
      </c>
      <c r="C53" s="13"/>
      <c r="D53" s="13">
        <v>705985627.45999992</v>
      </c>
      <c r="E53" s="13"/>
      <c r="F53" s="13">
        <v>3214117239.2799997</v>
      </c>
    </row>
    <row r="54" spans="1:6" x14ac:dyDescent="0.2">
      <c r="A54" t="s">
        <v>0</v>
      </c>
      <c r="B54" s="13">
        <v>944850.7</v>
      </c>
      <c r="C54" s="13"/>
      <c r="D54" s="13">
        <v>3691600.44</v>
      </c>
      <c r="E54" s="13"/>
      <c r="F54" s="13">
        <v>6843023.8499999996</v>
      </c>
    </row>
    <row r="55" spans="1:6" x14ac:dyDescent="0.2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">
      <c r="A56" t="s">
        <v>31</v>
      </c>
      <c r="B56" s="13">
        <v>17128065.390000004</v>
      </c>
      <c r="C56" s="13"/>
      <c r="D56" s="13">
        <v>68553954.460000023</v>
      </c>
      <c r="E56" s="13"/>
      <c r="F56" s="13">
        <v>323443688.60000002</v>
      </c>
    </row>
    <row r="57" spans="1:6" x14ac:dyDescent="0.2">
      <c r="A57" t="s">
        <v>25</v>
      </c>
      <c r="B57" s="13">
        <v>9420435.9645000026</v>
      </c>
      <c r="C57" s="13"/>
      <c r="D57" s="13">
        <v>37704674.953000017</v>
      </c>
      <c r="E57" s="13"/>
      <c r="F57" s="13">
        <v>177894028.73000002</v>
      </c>
    </row>
    <row r="58" spans="1:6" x14ac:dyDescent="0.2">
      <c r="A58" t="s">
        <v>32</v>
      </c>
      <c r="B58" s="13">
        <v>7707629.4255000018</v>
      </c>
      <c r="C58" s="13"/>
      <c r="D58" s="13">
        <v>30849279.50700001</v>
      </c>
      <c r="E58" s="13"/>
      <c r="F58" s="13">
        <v>145549659.87</v>
      </c>
    </row>
    <row r="59" spans="1:6" x14ac:dyDescent="0.2">
      <c r="A59" t="s">
        <v>5</v>
      </c>
      <c r="B59" s="18">
        <f>SUM(B48,B36,B25,B15)</f>
        <v>7996</v>
      </c>
    </row>
    <row r="62" spans="1:6" ht="76.5" customHeight="1" x14ac:dyDescent="0.2">
      <c r="A62" s="81" t="s">
        <v>51</v>
      </c>
      <c r="B62" s="81"/>
      <c r="C62" s="81"/>
      <c r="D62" s="81"/>
      <c r="E62" s="81"/>
      <c r="F62" s="81"/>
    </row>
    <row r="63" spans="1:6" x14ac:dyDescent="0.2">
      <c r="A63" s="29"/>
    </row>
    <row r="64" spans="1:6" x14ac:dyDescent="0.2">
      <c r="A64" s="29"/>
    </row>
    <row r="65" spans="1:1" x14ac:dyDescent="0.2">
      <c r="A65" s="29"/>
    </row>
    <row r="66" spans="1:1" x14ac:dyDescent="0.2">
      <c r="A66" s="29"/>
    </row>
  </sheetData>
  <mergeCells count="4">
    <mergeCell ref="A1:F1"/>
    <mergeCell ref="A2:F2"/>
    <mergeCell ref="A39:F39"/>
    <mergeCell ref="A62:F62"/>
  </mergeCells>
  <phoneticPr fontId="4" type="noConversion"/>
  <pageMargins left="0.75" right="0.75" top="1" bottom="1" header="0.5" footer="0.5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21" sqref="A21"/>
    </sheetView>
  </sheetViews>
  <sheetFormatPr defaultRowHeight="12.75" x14ac:dyDescent="0.2"/>
  <cols>
    <col min="1" max="1" width="15" customWidth="1"/>
    <col min="2" max="2" width="7.42578125" bestFit="1" customWidth="1"/>
    <col min="3" max="3" width="7.85546875" bestFit="1" customWidth="1"/>
    <col min="4" max="4" width="16.28515625" bestFit="1" customWidth="1"/>
    <col min="5" max="5" width="22.7109375" bestFit="1" customWidth="1"/>
  </cols>
  <sheetData>
    <row r="1" spans="1:5" x14ac:dyDescent="0.2">
      <c r="A1" s="1" t="s">
        <v>10</v>
      </c>
    </row>
    <row r="2" spans="1:5" x14ac:dyDescent="0.2">
      <c r="B2" s="10"/>
      <c r="C2" s="10"/>
      <c r="D2" s="10"/>
    </row>
    <row r="3" spans="1:5" x14ac:dyDescent="0.2">
      <c r="B3" s="10"/>
      <c r="C3" s="10"/>
      <c r="D3" s="10"/>
    </row>
    <row r="4" spans="1:5" x14ac:dyDescent="0.2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x14ac:dyDescent="0.2">
      <c r="A5" s="5"/>
      <c r="B5" s="6"/>
    </row>
    <row r="6" spans="1:5" x14ac:dyDescent="0.2">
      <c r="A6" s="7" t="s">
        <v>3</v>
      </c>
    </row>
    <row r="7" spans="1:5" x14ac:dyDescent="0.2">
      <c r="A7" s="7" t="s">
        <v>4</v>
      </c>
    </row>
    <row r="8" spans="1:5" x14ac:dyDescent="0.2">
      <c r="A8" s="1" t="s">
        <v>6</v>
      </c>
    </row>
  </sheetData>
  <phoneticPr fontId="4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6"/>
  <sheetViews>
    <sheetView tabSelected="1" zoomScaleNormal="100" workbookViewId="0">
      <selection activeCell="Q284" sqref="Q284"/>
    </sheetView>
  </sheetViews>
  <sheetFormatPr defaultRowHeight="15.75" x14ac:dyDescent="0.25"/>
  <cols>
    <col min="1" max="1" width="116.85546875" style="35" customWidth="1"/>
    <col min="2" max="2" width="19.28515625" style="35" customWidth="1"/>
    <col min="3" max="3" width="24" style="35" customWidth="1"/>
    <col min="4" max="4" width="30.28515625" style="35" customWidth="1"/>
    <col min="5" max="5" width="18.5703125" style="35" customWidth="1"/>
    <col min="6" max="6" width="25.140625" style="35" customWidth="1"/>
    <col min="7" max="16384" width="9.140625" style="35"/>
  </cols>
  <sheetData>
    <row r="1" spans="1:15" ht="60" customHeight="1" x14ac:dyDescent="0.35">
      <c r="A1" s="71" t="s">
        <v>86</v>
      </c>
      <c r="B1" s="67"/>
      <c r="C1" s="67"/>
      <c r="D1" s="67"/>
      <c r="E1" s="67"/>
      <c r="F1" s="67"/>
    </row>
    <row r="2" spans="1:15" ht="50.1" customHeight="1" x14ac:dyDescent="0.35">
      <c r="A2" s="72" t="s">
        <v>126</v>
      </c>
      <c r="B2" s="67"/>
      <c r="C2" s="67"/>
      <c r="D2" s="67"/>
      <c r="E2" s="67"/>
      <c r="F2" s="67"/>
    </row>
    <row r="3" spans="1:15" ht="60" customHeight="1" x14ac:dyDescent="0.25">
      <c r="A3" s="85" t="s">
        <v>127</v>
      </c>
      <c r="B3" s="86"/>
      <c r="C3" s="86"/>
      <c r="D3" s="86"/>
      <c r="E3" s="86"/>
      <c r="F3" s="86"/>
      <c r="G3" s="59"/>
      <c r="H3" s="59"/>
    </row>
    <row r="4" spans="1:15" ht="35.1" customHeight="1" x14ac:dyDescent="0.35">
      <c r="A4" s="87" t="s">
        <v>128</v>
      </c>
      <c r="B4" s="87"/>
      <c r="C4" s="87"/>
      <c r="D4" s="87"/>
      <c r="E4" s="87"/>
      <c r="F4" s="87"/>
    </row>
    <row r="5" spans="1:15" ht="35.1" customHeight="1" x14ac:dyDescent="0.35">
      <c r="A5" s="87" t="s">
        <v>129</v>
      </c>
      <c r="B5" s="88"/>
      <c r="C5" s="88"/>
      <c r="D5" s="88"/>
      <c r="E5" s="88"/>
      <c r="F5" s="88"/>
    </row>
    <row r="6" spans="1:15" ht="50.1" customHeight="1" x14ac:dyDescent="0.25">
      <c r="A6" s="85" t="s">
        <v>130</v>
      </c>
      <c r="B6" s="86"/>
      <c r="C6" s="86"/>
      <c r="D6" s="86"/>
      <c r="E6" s="86"/>
      <c r="F6" s="86"/>
    </row>
    <row r="7" spans="1:15" ht="50.1" customHeight="1" x14ac:dyDescent="0.25">
      <c r="A7" s="85" t="s">
        <v>131</v>
      </c>
      <c r="B7" s="86"/>
      <c r="C7" s="86"/>
      <c r="D7" s="86"/>
      <c r="E7" s="86"/>
      <c r="F7" s="86"/>
      <c r="K7" s="35">
        <v>91</v>
      </c>
      <c r="L7" s="35">
        <v>91</v>
      </c>
      <c r="M7" s="35">
        <v>90</v>
      </c>
    </row>
    <row r="8" spans="1:15" x14ac:dyDescent="0.25">
      <c r="K8" s="35">
        <v>4225842.42</v>
      </c>
      <c r="L8" s="35">
        <v>3699969.93</v>
      </c>
      <c r="M8" s="35">
        <v>3635374.1</v>
      </c>
      <c r="O8" s="35">
        <f>SUM(B8:M8)</f>
        <v>11561186.449999999</v>
      </c>
    </row>
    <row r="9" spans="1:15" x14ac:dyDescent="0.25">
      <c r="K9" s="35">
        <v>507101.08999999997</v>
      </c>
      <c r="L9" s="35">
        <v>443996.38999999996</v>
      </c>
      <c r="M9" s="35">
        <v>436244.9</v>
      </c>
    </row>
    <row r="10" spans="1:15" x14ac:dyDescent="0.25">
      <c r="K10" s="35">
        <v>84516.86</v>
      </c>
      <c r="L10" s="35">
        <v>73999.39999999998</v>
      </c>
      <c r="M10" s="35">
        <v>72707.489999999991</v>
      </c>
    </row>
    <row r="11" spans="1:15" x14ac:dyDescent="0.25">
      <c r="K11" s="35">
        <v>18</v>
      </c>
      <c r="L11" s="35">
        <v>18</v>
      </c>
      <c r="M11" s="35">
        <v>18</v>
      </c>
    </row>
    <row r="12" spans="1:15" x14ac:dyDescent="0.25">
      <c r="K12" s="35">
        <v>264037</v>
      </c>
      <c r="L12" s="35">
        <v>229215</v>
      </c>
      <c r="M12" s="35">
        <v>267145</v>
      </c>
    </row>
    <row r="13" spans="1:15" x14ac:dyDescent="0.25">
      <c r="K13" s="35">
        <v>31684.44</v>
      </c>
      <c r="L13" s="35">
        <v>27505.800000000003</v>
      </c>
      <c r="M13" s="35">
        <v>32057.4</v>
      </c>
    </row>
    <row r="14" spans="1:15" x14ac:dyDescent="0.25">
      <c r="K14" s="35">
        <v>5280.7400000000007</v>
      </c>
      <c r="L14" s="35">
        <v>4584.3</v>
      </c>
      <c r="M14" s="35">
        <v>5342.9</v>
      </c>
    </row>
    <row r="15" spans="1:15" x14ac:dyDescent="0.25">
      <c r="K15" s="35">
        <v>73</v>
      </c>
      <c r="L15" s="35">
        <v>71.666666666666671</v>
      </c>
      <c r="M15" s="35">
        <v>71</v>
      </c>
    </row>
    <row r="16" spans="1:15" x14ac:dyDescent="0.25">
      <c r="K16" s="35">
        <v>3961805.4200000004</v>
      </c>
      <c r="L16" s="35">
        <v>3403756.5699999994</v>
      </c>
      <c r="M16" s="35">
        <v>3260002.05</v>
      </c>
    </row>
    <row r="17" spans="11:13" x14ac:dyDescent="0.25">
      <c r="K17" s="35">
        <v>475416.65</v>
      </c>
      <c r="L17" s="35">
        <v>408450.79</v>
      </c>
      <c r="M17" s="35">
        <v>391200.24999999994</v>
      </c>
    </row>
    <row r="18" spans="11:13" x14ac:dyDescent="0.25">
      <c r="K18" s="35">
        <v>79236.12</v>
      </c>
      <c r="L18" s="35">
        <v>68075.13</v>
      </c>
      <c r="M18" s="35">
        <v>65200.04</v>
      </c>
    </row>
    <row r="19" spans="11:13" x14ac:dyDescent="0.25">
      <c r="K19" s="35">
        <v>0</v>
      </c>
      <c r="L19" s="35">
        <v>0</v>
      </c>
      <c r="M19" s="35">
        <v>0</v>
      </c>
    </row>
    <row r="20" spans="11:13" x14ac:dyDescent="0.25">
      <c r="K20" s="35">
        <v>0</v>
      </c>
      <c r="L20" s="35">
        <v>0</v>
      </c>
      <c r="M20" s="35">
        <v>0</v>
      </c>
    </row>
    <row r="21" spans="11:13" x14ac:dyDescent="0.25">
      <c r="K21" s="35">
        <v>0</v>
      </c>
      <c r="L21" s="35">
        <v>0</v>
      </c>
      <c r="M21" s="35">
        <v>0</v>
      </c>
    </row>
    <row r="22" spans="11:13" x14ac:dyDescent="0.25">
      <c r="K22" s="35">
        <v>0</v>
      </c>
      <c r="L22" s="35">
        <v>0</v>
      </c>
      <c r="M22" s="35">
        <v>0</v>
      </c>
    </row>
    <row r="23" spans="11:13" x14ac:dyDescent="0.25">
      <c r="K23" s="35">
        <v>0</v>
      </c>
      <c r="L23" s="35">
        <v>0</v>
      </c>
      <c r="M23" s="35">
        <v>0</v>
      </c>
    </row>
    <row r="24" spans="11:13" x14ac:dyDescent="0.25">
      <c r="K24" s="35">
        <v>0</v>
      </c>
      <c r="L24" s="35">
        <v>0</v>
      </c>
      <c r="M24" s="35">
        <v>0</v>
      </c>
    </row>
    <row r="25" spans="11:13" x14ac:dyDescent="0.25">
      <c r="K25" s="35">
        <v>0</v>
      </c>
      <c r="L25" s="35">
        <v>0</v>
      </c>
      <c r="M25" s="35">
        <v>0</v>
      </c>
    </row>
    <row r="26" spans="11:13" x14ac:dyDescent="0.25">
      <c r="K26" s="35">
        <v>0</v>
      </c>
      <c r="L26" s="35">
        <v>0</v>
      </c>
      <c r="M26" s="35">
        <v>0</v>
      </c>
    </row>
    <row r="27" spans="11:13" x14ac:dyDescent="0.25">
      <c r="L27" s="35">
        <v>1</v>
      </c>
      <c r="M27" s="35">
        <v>1</v>
      </c>
    </row>
    <row r="28" spans="11:13" x14ac:dyDescent="0.25">
      <c r="L28" s="35">
        <v>66998.360000000015</v>
      </c>
      <c r="M28" s="35">
        <v>108227.04999999999</v>
      </c>
    </row>
    <row r="29" spans="11:13" x14ac:dyDescent="0.25">
      <c r="L29" s="35">
        <v>8039.7999999999993</v>
      </c>
      <c r="M29" s="35">
        <v>12987.250000000002</v>
      </c>
    </row>
    <row r="30" spans="11:13" x14ac:dyDescent="0.25">
      <c r="L30" s="35">
        <v>1339.97</v>
      </c>
      <c r="M30" s="35">
        <v>2164.5499999999997</v>
      </c>
    </row>
    <row r="33" spans="11:13" x14ac:dyDescent="0.25">
      <c r="K33" s="35">
        <v>175</v>
      </c>
      <c r="L33" s="35">
        <v>175</v>
      </c>
      <c r="M33" s="35">
        <v>175</v>
      </c>
    </row>
    <row r="34" spans="11:13" x14ac:dyDescent="0.25">
      <c r="K34" s="35">
        <v>14466610.41</v>
      </c>
      <c r="L34" s="35">
        <v>12540088.41</v>
      </c>
      <c r="M34" s="35">
        <v>12222406.219999999</v>
      </c>
    </row>
    <row r="35" spans="11:13" x14ac:dyDescent="0.25">
      <c r="K35" s="35">
        <v>1735993.2599999998</v>
      </c>
      <c r="L35" s="35">
        <v>1504810.6099999999</v>
      </c>
      <c r="M35" s="35">
        <v>1466688.76</v>
      </c>
    </row>
    <row r="36" spans="11:13" x14ac:dyDescent="0.25">
      <c r="K36" s="35">
        <v>289332.21999999997</v>
      </c>
      <c r="L36" s="35">
        <v>250801.78000000003</v>
      </c>
      <c r="M36" s="35">
        <v>244448.12999999998</v>
      </c>
    </row>
    <row r="37" spans="11:13" x14ac:dyDescent="0.25">
      <c r="K37" s="35">
        <v>46</v>
      </c>
      <c r="L37" s="35">
        <v>46</v>
      </c>
      <c r="M37" s="35">
        <v>46</v>
      </c>
    </row>
    <row r="38" spans="11:13" x14ac:dyDescent="0.25">
      <c r="K38" s="35">
        <v>1370002</v>
      </c>
      <c r="L38" s="35">
        <v>1498168</v>
      </c>
      <c r="M38" s="35">
        <v>1226022</v>
      </c>
    </row>
    <row r="39" spans="11:13" x14ac:dyDescent="0.25">
      <c r="K39" s="35">
        <v>164400.24</v>
      </c>
      <c r="L39" s="35">
        <v>179780.16</v>
      </c>
      <c r="M39" s="35">
        <v>147122.64000000001</v>
      </c>
    </row>
    <row r="40" spans="11:13" x14ac:dyDescent="0.25">
      <c r="K40" s="35">
        <v>27400.039999999997</v>
      </c>
      <c r="L40" s="35">
        <v>29963.360000000001</v>
      </c>
      <c r="M40" s="35">
        <v>24520.440000000002</v>
      </c>
    </row>
    <row r="41" spans="11:13" x14ac:dyDescent="0.25">
      <c r="K41" s="35">
        <v>119</v>
      </c>
      <c r="L41" s="35">
        <v>119</v>
      </c>
      <c r="M41" s="35">
        <v>119</v>
      </c>
    </row>
    <row r="42" spans="11:13" x14ac:dyDescent="0.25">
      <c r="K42" s="35">
        <v>12608471.16</v>
      </c>
      <c r="L42" s="35">
        <v>10421390.26</v>
      </c>
      <c r="M42" s="35">
        <v>10539672.25</v>
      </c>
    </row>
    <row r="43" spans="11:13" x14ac:dyDescent="0.25">
      <c r="K43" s="35">
        <v>1513016.54</v>
      </c>
      <c r="L43" s="35">
        <v>1250566.8299999998</v>
      </c>
      <c r="M43" s="35">
        <v>1264760.6700000002</v>
      </c>
    </row>
    <row r="44" spans="11:13" x14ac:dyDescent="0.25">
      <c r="K44" s="35">
        <v>252169.43000000002</v>
      </c>
      <c r="L44" s="35">
        <v>208427.82</v>
      </c>
      <c r="M44" s="35">
        <v>210793.46000000002</v>
      </c>
    </row>
    <row r="45" spans="11:13" x14ac:dyDescent="0.25">
      <c r="K45" s="35">
        <v>0</v>
      </c>
      <c r="L45" s="35">
        <v>0</v>
      </c>
      <c r="M45" s="35">
        <v>0</v>
      </c>
    </row>
    <row r="46" spans="11:13" x14ac:dyDescent="0.25">
      <c r="K46" s="35">
        <v>0</v>
      </c>
      <c r="L46" s="35">
        <v>0</v>
      </c>
      <c r="M46" s="35">
        <v>0</v>
      </c>
    </row>
    <row r="47" spans="11:13" x14ac:dyDescent="0.25">
      <c r="K47" s="35">
        <v>0</v>
      </c>
      <c r="L47" s="35">
        <v>0</v>
      </c>
      <c r="M47" s="35">
        <v>0</v>
      </c>
    </row>
    <row r="48" spans="11:13" x14ac:dyDescent="0.25">
      <c r="K48" s="35">
        <v>0</v>
      </c>
      <c r="L48" s="35">
        <v>0</v>
      </c>
      <c r="M48" s="35">
        <v>0</v>
      </c>
    </row>
    <row r="49" spans="4:13" x14ac:dyDescent="0.25">
      <c r="K49" s="35">
        <v>0</v>
      </c>
      <c r="L49" s="35">
        <v>0</v>
      </c>
      <c r="M49" s="35">
        <v>0</v>
      </c>
    </row>
    <row r="50" spans="4:13" x14ac:dyDescent="0.25">
      <c r="K50" s="35">
        <v>0</v>
      </c>
      <c r="L50" s="35">
        <v>0</v>
      </c>
      <c r="M50" s="35">
        <v>0</v>
      </c>
    </row>
    <row r="51" spans="4:13" x14ac:dyDescent="0.25">
      <c r="K51" s="35">
        <v>0</v>
      </c>
      <c r="L51" s="35">
        <v>0</v>
      </c>
      <c r="M51" s="35">
        <v>0</v>
      </c>
    </row>
    <row r="52" spans="4:13" x14ac:dyDescent="0.25">
      <c r="K52" s="35">
        <v>0</v>
      </c>
      <c r="L52" s="35">
        <v>0</v>
      </c>
      <c r="M52" s="35">
        <v>0</v>
      </c>
    </row>
    <row r="53" spans="4:13" x14ac:dyDescent="0.25">
      <c r="K53" s="35">
        <v>10</v>
      </c>
      <c r="L53" s="35">
        <v>10</v>
      </c>
      <c r="M53" s="35">
        <v>10</v>
      </c>
    </row>
    <row r="54" spans="4:13" x14ac:dyDescent="0.25">
      <c r="K54" s="35">
        <v>488137.25</v>
      </c>
      <c r="L54" s="35">
        <v>620530.14999999991</v>
      </c>
      <c r="M54" s="35">
        <v>456711.97</v>
      </c>
    </row>
    <row r="55" spans="4:13" x14ac:dyDescent="0.25">
      <c r="K55" s="35">
        <v>58576.479999999996</v>
      </c>
      <c r="L55" s="35">
        <v>74463.62</v>
      </c>
      <c r="M55" s="35">
        <v>54805.45</v>
      </c>
    </row>
    <row r="56" spans="4:13" x14ac:dyDescent="0.25">
      <c r="K56" s="35">
        <v>9762.75</v>
      </c>
      <c r="L56" s="35">
        <v>12410.6</v>
      </c>
      <c r="M56" s="35">
        <v>9134.23</v>
      </c>
    </row>
    <row r="59" spans="4:13" x14ac:dyDescent="0.25">
      <c r="D59" s="35">
        <v>116</v>
      </c>
      <c r="K59" s="35">
        <v>107</v>
      </c>
      <c r="L59" s="35">
        <v>107</v>
      </c>
      <c r="M59" s="35">
        <v>107</v>
      </c>
    </row>
    <row r="60" spans="4:13" x14ac:dyDescent="0.25">
      <c r="D60" s="35">
        <v>4872950.49</v>
      </c>
      <c r="K60" s="35">
        <v>5412380.0299999993</v>
      </c>
      <c r="L60" s="35">
        <v>5814570.1499999994</v>
      </c>
      <c r="M60" s="35">
        <v>5145050.74</v>
      </c>
    </row>
    <row r="61" spans="4:13" x14ac:dyDescent="0.25">
      <c r="D61" s="35">
        <v>647102.39999999991</v>
      </c>
      <c r="K61" s="35">
        <v>706711</v>
      </c>
      <c r="L61" s="35">
        <v>746265.05000000016</v>
      </c>
      <c r="M61" s="35">
        <v>654127.29</v>
      </c>
    </row>
    <row r="62" spans="4:13" x14ac:dyDescent="0.25">
      <c r="D62" s="35">
        <v>97459.01</v>
      </c>
      <c r="K62" s="35">
        <v>108247.59</v>
      </c>
      <c r="L62" s="35">
        <v>116291.40000000001</v>
      </c>
      <c r="M62" s="35">
        <v>102901.01</v>
      </c>
    </row>
    <row r="63" spans="4:13" x14ac:dyDescent="0.25">
      <c r="D63" s="35">
        <v>28</v>
      </c>
      <c r="K63" s="35">
        <v>28</v>
      </c>
      <c r="L63" s="35">
        <v>28</v>
      </c>
      <c r="M63" s="35">
        <v>28</v>
      </c>
    </row>
    <row r="64" spans="4:13" x14ac:dyDescent="0.25">
      <c r="D64" s="35">
        <v>525031</v>
      </c>
      <c r="K64" s="35">
        <v>435022</v>
      </c>
      <c r="L64" s="35">
        <v>501227</v>
      </c>
      <c r="M64" s="35">
        <v>445490</v>
      </c>
    </row>
    <row r="65" spans="4:13" x14ac:dyDescent="0.25">
      <c r="D65" s="35">
        <v>63003.72</v>
      </c>
      <c r="K65" s="35">
        <v>52202.64</v>
      </c>
      <c r="L65" s="35">
        <v>60147.24</v>
      </c>
      <c r="M65" s="35">
        <v>53458.8</v>
      </c>
    </row>
    <row r="66" spans="4:13" x14ac:dyDescent="0.25">
      <c r="D66" s="35">
        <v>10500.62</v>
      </c>
      <c r="K66" s="35">
        <v>8700.44</v>
      </c>
      <c r="L66" s="35">
        <v>10024.539999999999</v>
      </c>
      <c r="M66" s="35">
        <v>8909.7999999999993</v>
      </c>
    </row>
    <row r="67" spans="4:13" x14ac:dyDescent="0.25">
      <c r="D67" s="35">
        <v>84</v>
      </c>
      <c r="K67" s="35">
        <v>73</v>
      </c>
      <c r="L67" s="35">
        <v>73</v>
      </c>
      <c r="M67" s="35">
        <v>73</v>
      </c>
    </row>
    <row r="68" spans="4:13" x14ac:dyDescent="0.25">
      <c r="D68" s="35">
        <v>4164541.9899999998</v>
      </c>
      <c r="K68" s="35">
        <v>4718639.91</v>
      </c>
      <c r="L68" s="35">
        <v>5067806.4799999995</v>
      </c>
      <c r="M68" s="35">
        <v>4473378.4400000004</v>
      </c>
    </row>
    <row r="69" spans="4:13" x14ac:dyDescent="0.25">
      <c r="D69" s="35">
        <v>499745.03</v>
      </c>
      <c r="K69" s="35">
        <v>566236.78</v>
      </c>
      <c r="L69" s="35">
        <v>608136.77</v>
      </c>
      <c r="M69" s="35">
        <v>536805.42000000004</v>
      </c>
    </row>
    <row r="70" spans="4:13" x14ac:dyDescent="0.25">
      <c r="D70" s="35">
        <v>83290.84</v>
      </c>
      <c r="K70" s="35">
        <v>94372.790000000008</v>
      </c>
      <c r="L70" s="35">
        <v>101356.12</v>
      </c>
      <c r="M70" s="35">
        <v>89467.56</v>
      </c>
    </row>
    <row r="71" spans="4:13" x14ac:dyDescent="0.25">
      <c r="D71" s="35">
        <v>0</v>
      </c>
      <c r="K71" s="35">
        <v>0</v>
      </c>
      <c r="L71" s="35">
        <v>0</v>
      </c>
      <c r="M71" s="35">
        <v>0</v>
      </c>
    </row>
    <row r="72" spans="4:13" x14ac:dyDescent="0.25">
      <c r="D72" s="35">
        <v>0</v>
      </c>
      <c r="K72" s="35">
        <v>0</v>
      </c>
      <c r="L72" s="35">
        <v>0</v>
      </c>
      <c r="M72" s="35">
        <v>0</v>
      </c>
    </row>
    <row r="73" spans="4:13" x14ac:dyDescent="0.25">
      <c r="D73" s="35">
        <v>0</v>
      </c>
      <c r="K73" s="35">
        <v>0</v>
      </c>
      <c r="L73" s="35">
        <v>0</v>
      </c>
      <c r="M73" s="35">
        <v>0</v>
      </c>
    </row>
    <row r="74" spans="4:13" x14ac:dyDescent="0.25">
      <c r="D74" s="35">
        <v>0</v>
      </c>
      <c r="K74" s="35">
        <v>0</v>
      </c>
      <c r="L74" s="35">
        <v>0</v>
      </c>
      <c r="M74" s="35">
        <v>0</v>
      </c>
    </row>
    <row r="75" spans="4:13" x14ac:dyDescent="0.25">
      <c r="D75" s="35">
        <v>4</v>
      </c>
      <c r="K75" s="35">
        <v>4</v>
      </c>
      <c r="L75" s="35">
        <v>4</v>
      </c>
      <c r="M75" s="35">
        <v>4</v>
      </c>
    </row>
    <row r="76" spans="4:13" x14ac:dyDescent="0.25">
      <c r="D76" s="35">
        <v>183377.5</v>
      </c>
      <c r="K76" s="35">
        <v>168310</v>
      </c>
      <c r="L76" s="35">
        <v>142696</v>
      </c>
      <c r="M76" s="35">
        <v>108003.5</v>
      </c>
    </row>
    <row r="77" spans="4:13" x14ac:dyDescent="0.25">
      <c r="D77" s="35">
        <v>84353.65</v>
      </c>
      <c r="K77" s="35">
        <v>77422.599999999991</v>
      </c>
      <c r="L77" s="35">
        <v>65640.160000000003</v>
      </c>
      <c r="M77" s="35">
        <v>49681.61</v>
      </c>
    </row>
    <row r="78" spans="4:13" x14ac:dyDescent="0.25">
      <c r="D78" s="35">
        <v>3667.55</v>
      </c>
      <c r="K78" s="35">
        <v>3366.2</v>
      </c>
      <c r="L78" s="35">
        <v>2853.9199999999996</v>
      </c>
      <c r="M78" s="35">
        <v>2160.0700000000002</v>
      </c>
    </row>
    <row r="79" spans="4:13" x14ac:dyDescent="0.25">
      <c r="K79" s="35">
        <v>2</v>
      </c>
      <c r="L79" s="35">
        <v>2</v>
      </c>
      <c r="M79" s="35">
        <v>2</v>
      </c>
    </row>
    <row r="80" spans="4:13" x14ac:dyDescent="0.25">
      <c r="K80" s="35">
        <v>90408.12</v>
      </c>
      <c r="L80" s="35">
        <v>102840.67</v>
      </c>
      <c r="M80" s="35">
        <v>118178.79999999999</v>
      </c>
    </row>
    <row r="81" spans="11:13" x14ac:dyDescent="0.25">
      <c r="K81" s="35">
        <v>10848.98</v>
      </c>
      <c r="L81" s="35">
        <v>12340.880000000001</v>
      </c>
      <c r="M81" s="35">
        <v>14181.46</v>
      </c>
    </row>
    <row r="82" spans="11:13" x14ac:dyDescent="0.25">
      <c r="K82" s="35">
        <v>1808.1599999999999</v>
      </c>
      <c r="L82" s="35">
        <v>2056.8200000000002</v>
      </c>
      <c r="M82" s="35">
        <v>2363.58</v>
      </c>
    </row>
    <row r="85" spans="11:13" x14ac:dyDescent="0.25">
      <c r="L85" s="35">
        <v>40</v>
      </c>
      <c r="M85" s="35">
        <v>40</v>
      </c>
    </row>
    <row r="86" spans="11:13" x14ac:dyDescent="0.25">
      <c r="L86" s="35">
        <v>1275056.52</v>
      </c>
      <c r="M86" s="35">
        <v>1374559.91</v>
      </c>
    </row>
    <row r="87" spans="11:13" x14ac:dyDescent="0.25">
      <c r="L87" s="35">
        <v>169586.37</v>
      </c>
      <c r="M87" s="35">
        <v>181954.16</v>
      </c>
    </row>
    <row r="88" spans="11:13" x14ac:dyDescent="0.25">
      <c r="L88" s="35">
        <v>25501.13</v>
      </c>
      <c r="M88" s="35">
        <v>27491.199999999997</v>
      </c>
    </row>
    <row r="89" spans="11:13" x14ac:dyDescent="0.25">
      <c r="L89" s="35">
        <v>7</v>
      </c>
      <c r="M89" s="35">
        <v>7</v>
      </c>
    </row>
    <row r="90" spans="11:13" x14ac:dyDescent="0.25">
      <c r="L90" s="35">
        <v>104689</v>
      </c>
      <c r="M90" s="35">
        <v>79511</v>
      </c>
    </row>
    <row r="91" spans="11:13" x14ac:dyDescent="0.25">
      <c r="L91" s="35">
        <v>12562.68</v>
      </c>
      <c r="M91" s="35">
        <v>9541.3200000000015</v>
      </c>
    </row>
    <row r="92" spans="11:13" x14ac:dyDescent="0.25">
      <c r="L92" s="35">
        <v>2093.7799999999997</v>
      </c>
      <c r="M92" s="35">
        <v>1590.22</v>
      </c>
    </row>
    <row r="93" spans="11:13" x14ac:dyDescent="0.25">
      <c r="L93" s="35">
        <v>32</v>
      </c>
      <c r="M93" s="35">
        <v>32</v>
      </c>
    </row>
    <row r="94" spans="11:13" x14ac:dyDescent="0.25">
      <c r="L94" s="35">
        <v>1121604.02</v>
      </c>
      <c r="M94" s="35">
        <v>1245028.4099999999</v>
      </c>
    </row>
    <row r="95" spans="11:13" x14ac:dyDescent="0.25">
      <c r="L95" s="35">
        <v>134592.48000000001</v>
      </c>
      <c r="M95" s="35">
        <v>149403.41</v>
      </c>
    </row>
    <row r="96" spans="11:13" x14ac:dyDescent="0.25">
      <c r="L96" s="35">
        <v>22432.079999999998</v>
      </c>
      <c r="M96" s="35">
        <v>24900.57</v>
      </c>
    </row>
    <row r="97" spans="12:13" x14ac:dyDescent="0.25">
      <c r="L97" s="35">
        <v>0</v>
      </c>
      <c r="M97" s="35">
        <v>0</v>
      </c>
    </row>
    <row r="98" spans="12:13" x14ac:dyDescent="0.25">
      <c r="L98" s="35">
        <v>0</v>
      </c>
      <c r="M98" s="35">
        <v>0</v>
      </c>
    </row>
    <row r="99" spans="12:13" x14ac:dyDescent="0.25">
      <c r="L99" s="35">
        <v>0</v>
      </c>
      <c r="M99" s="35">
        <v>0</v>
      </c>
    </row>
    <row r="100" spans="12:13" x14ac:dyDescent="0.25">
      <c r="L100" s="35">
        <v>0</v>
      </c>
      <c r="M100" s="35">
        <v>0</v>
      </c>
    </row>
    <row r="101" spans="12:13" x14ac:dyDescent="0.25">
      <c r="L101" s="35">
        <v>1</v>
      </c>
      <c r="M101" s="35">
        <v>1</v>
      </c>
    </row>
    <row r="102" spans="12:13" x14ac:dyDescent="0.25">
      <c r="L102" s="35">
        <v>48763.5</v>
      </c>
      <c r="M102" s="35">
        <v>50020.5</v>
      </c>
    </row>
    <row r="103" spans="12:13" x14ac:dyDescent="0.25">
      <c r="L103" s="35">
        <v>22431.21</v>
      </c>
      <c r="M103" s="35">
        <v>23009.43</v>
      </c>
    </row>
    <row r="104" spans="12:13" x14ac:dyDescent="0.25">
      <c r="L104" s="35">
        <v>975.27</v>
      </c>
      <c r="M104" s="35">
        <v>1000.4100000000001</v>
      </c>
    </row>
    <row r="107" spans="12:13" x14ac:dyDescent="0.25">
      <c r="L107" s="35">
        <v>82</v>
      </c>
      <c r="M107" s="35">
        <v>82</v>
      </c>
    </row>
    <row r="108" spans="12:13" x14ac:dyDescent="0.25">
      <c r="L108" s="35">
        <v>2933200.06</v>
      </c>
      <c r="M108" s="35">
        <v>2211262.54</v>
      </c>
    </row>
    <row r="109" spans="12:13" x14ac:dyDescent="0.25">
      <c r="L109" s="35">
        <v>377698.37999999995</v>
      </c>
      <c r="M109" s="35">
        <v>293682.17</v>
      </c>
    </row>
    <row r="110" spans="12:13" x14ac:dyDescent="0.25">
      <c r="L110" s="35">
        <v>58664.020000000004</v>
      </c>
      <c r="M110" s="35">
        <v>44225.26</v>
      </c>
    </row>
    <row r="111" spans="12:13" x14ac:dyDescent="0.25">
      <c r="L111" s="35">
        <v>14</v>
      </c>
      <c r="M111" s="35">
        <v>14</v>
      </c>
    </row>
    <row r="112" spans="12:13" x14ac:dyDescent="0.25">
      <c r="L112" s="35">
        <v>165983</v>
      </c>
      <c r="M112" s="35">
        <v>128578.01</v>
      </c>
    </row>
    <row r="113" spans="12:13" x14ac:dyDescent="0.25">
      <c r="L113" s="35">
        <v>19917.96</v>
      </c>
      <c r="M113" s="35">
        <v>15429.36</v>
      </c>
    </row>
    <row r="114" spans="12:13" x14ac:dyDescent="0.25">
      <c r="L114" s="35">
        <v>3319.6600000000003</v>
      </c>
      <c r="M114" s="35">
        <v>2571.56</v>
      </c>
    </row>
    <row r="115" spans="12:13" x14ac:dyDescent="0.25">
      <c r="L115" s="35">
        <v>67</v>
      </c>
      <c r="M115" s="35">
        <v>67</v>
      </c>
    </row>
    <row r="116" spans="12:13" x14ac:dyDescent="0.25">
      <c r="L116" s="35">
        <v>2691586.56</v>
      </c>
      <c r="M116" s="35">
        <v>1999359.03</v>
      </c>
    </row>
    <row r="117" spans="12:13" x14ac:dyDescent="0.25">
      <c r="L117" s="35">
        <v>322990.39</v>
      </c>
      <c r="M117" s="35">
        <v>239923.08</v>
      </c>
    </row>
    <row r="118" spans="12:13" x14ac:dyDescent="0.25">
      <c r="L118" s="35">
        <v>53831.75</v>
      </c>
      <c r="M118" s="35">
        <v>39987.19</v>
      </c>
    </row>
    <row r="119" spans="12:13" x14ac:dyDescent="0.25">
      <c r="L119" s="35">
        <v>0</v>
      </c>
      <c r="M119" s="35">
        <v>0</v>
      </c>
    </row>
    <row r="120" spans="12:13" x14ac:dyDescent="0.25">
      <c r="L120" s="35">
        <v>0</v>
      </c>
      <c r="M120" s="35">
        <v>0</v>
      </c>
    </row>
    <row r="121" spans="12:13" x14ac:dyDescent="0.25">
      <c r="L121" s="35">
        <v>0</v>
      </c>
      <c r="M121" s="35">
        <v>0</v>
      </c>
    </row>
    <row r="122" spans="12:13" x14ac:dyDescent="0.25">
      <c r="L122" s="35">
        <v>0</v>
      </c>
      <c r="M122" s="35">
        <v>0</v>
      </c>
    </row>
    <row r="123" spans="12:13" x14ac:dyDescent="0.25">
      <c r="L123" s="35">
        <v>1</v>
      </c>
      <c r="M123" s="35">
        <v>1</v>
      </c>
    </row>
    <row r="124" spans="12:13" x14ac:dyDescent="0.25">
      <c r="L124" s="35">
        <v>75630.5</v>
      </c>
      <c r="M124" s="35">
        <v>83325.5</v>
      </c>
    </row>
    <row r="125" spans="12:13" x14ac:dyDescent="0.25">
      <c r="L125" s="35">
        <v>34790.03</v>
      </c>
      <c r="M125" s="35">
        <v>38329.729999999996</v>
      </c>
    </row>
    <row r="126" spans="12:13" x14ac:dyDescent="0.25">
      <c r="L126" s="35">
        <v>1512.6100000000001</v>
      </c>
      <c r="M126" s="35">
        <v>1666.51</v>
      </c>
    </row>
    <row r="129" spans="11:13" x14ac:dyDescent="0.25">
      <c r="K129" s="35">
        <v>81</v>
      </c>
      <c r="L129" s="35">
        <v>81</v>
      </c>
      <c r="M129" s="35">
        <v>81</v>
      </c>
    </row>
    <row r="130" spans="11:13" x14ac:dyDescent="0.25">
      <c r="K130" s="35">
        <v>3481374.41</v>
      </c>
      <c r="L130" s="35">
        <v>3783145.84</v>
      </c>
      <c r="M130" s="35">
        <v>3074252.11</v>
      </c>
    </row>
    <row r="131" spans="11:13" x14ac:dyDescent="0.25">
      <c r="K131" s="35">
        <v>444991.96</v>
      </c>
      <c r="L131" s="35">
        <v>477902.62000000005</v>
      </c>
      <c r="M131" s="35">
        <v>388830.86</v>
      </c>
    </row>
    <row r="132" spans="11:13" x14ac:dyDescent="0.25">
      <c r="K132" s="35">
        <v>69627.5</v>
      </c>
      <c r="L132" s="35">
        <v>75662.929999999993</v>
      </c>
      <c r="M132" s="35">
        <v>61485.06</v>
      </c>
    </row>
    <row r="133" spans="11:13" x14ac:dyDescent="0.25">
      <c r="K133" s="35">
        <v>9</v>
      </c>
      <c r="L133" s="35">
        <v>9</v>
      </c>
      <c r="M133" s="35">
        <v>9</v>
      </c>
    </row>
    <row r="134" spans="11:13" x14ac:dyDescent="0.25">
      <c r="K134" s="35">
        <v>111829</v>
      </c>
      <c r="L134" s="35">
        <v>105861</v>
      </c>
      <c r="M134" s="35">
        <v>98168</v>
      </c>
    </row>
    <row r="135" spans="11:13" x14ac:dyDescent="0.25">
      <c r="K135" s="35">
        <v>13419.48</v>
      </c>
      <c r="L135" s="35">
        <v>12703.32</v>
      </c>
      <c r="M135" s="35">
        <v>11780.16</v>
      </c>
    </row>
    <row r="136" spans="11:13" x14ac:dyDescent="0.25">
      <c r="K136" s="35">
        <v>2236.58</v>
      </c>
      <c r="L136" s="35">
        <v>2117.2200000000003</v>
      </c>
      <c r="M136" s="35">
        <v>1963.3600000000001</v>
      </c>
    </row>
    <row r="137" spans="11:13" x14ac:dyDescent="0.25">
      <c r="K137" s="35">
        <v>70</v>
      </c>
      <c r="L137" s="35">
        <v>70</v>
      </c>
      <c r="M137" s="35">
        <v>70</v>
      </c>
    </row>
    <row r="138" spans="11:13" x14ac:dyDescent="0.25">
      <c r="K138" s="35">
        <v>3289465.91</v>
      </c>
      <c r="L138" s="35">
        <v>3606916.84</v>
      </c>
      <c r="M138" s="35">
        <v>2917494.11</v>
      </c>
    </row>
    <row r="139" spans="11:13" x14ac:dyDescent="0.25">
      <c r="K139" s="35">
        <v>394735.91</v>
      </c>
      <c r="L139" s="35">
        <v>432830.02</v>
      </c>
      <c r="M139" s="35">
        <v>350099.30000000005</v>
      </c>
    </row>
    <row r="140" spans="11:13" x14ac:dyDescent="0.25">
      <c r="K140" s="35">
        <v>65789.330000000016</v>
      </c>
      <c r="L140" s="35">
        <v>72138.349999999991</v>
      </c>
      <c r="M140" s="35">
        <v>58349.9</v>
      </c>
    </row>
    <row r="141" spans="11:13" x14ac:dyDescent="0.25">
      <c r="K141" s="35">
        <v>0</v>
      </c>
      <c r="L141" s="35">
        <v>0</v>
      </c>
      <c r="M141" s="35">
        <v>0</v>
      </c>
    </row>
    <row r="142" spans="11:13" x14ac:dyDescent="0.25">
      <c r="K142" s="35">
        <v>0</v>
      </c>
      <c r="L142" s="35">
        <v>0</v>
      </c>
      <c r="M142" s="35">
        <v>0</v>
      </c>
    </row>
    <row r="143" spans="11:13" x14ac:dyDescent="0.25">
      <c r="K143" s="35">
        <v>0</v>
      </c>
      <c r="L143" s="35">
        <v>0</v>
      </c>
      <c r="M143" s="35">
        <v>0</v>
      </c>
    </row>
    <row r="144" spans="11:13" x14ac:dyDescent="0.25">
      <c r="K144" s="35">
        <v>0</v>
      </c>
      <c r="L144" s="35">
        <v>0</v>
      </c>
      <c r="M144" s="35">
        <v>0</v>
      </c>
    </row>
    <row r="145" spans="11:13" x14ac:dyDescent="0.25">
      <c r="K145" s="35">
        <v>2</v>
      </c>
      <c r="L145" s="35">
        <v>2</v>
      </c>
      <c r="M145" s="35">
        <v>2</v>
      </c>
    </row>
    <row r="146" spans="11:13" x14ac:dyDescent="0.25">
      <c r="K146" s="35">
        <v>80079.5</v>
      </c>
      <c r="L146" s="35">
        <v>70368</v>
      </c>
      <c r="M146" s="35">
        <v>58590</v>
      </c>
    </row>
    <row r="147" spans="11:13" x14ac:dyDescent="0.25">
      <c r="K147" s="35">
        <v>36836.57</v>
      </c>
      <c r="L147" s="35">
        <v>32369.279999999999</v>
      </c>
      <c r="M147" s="35">
        <v>26951.399999999998</v>
      </c>
    </row>
    <row r="148" spans="11:13" x14ac:dyDescent="0.25">
      <c r="K148" s="35">
        <v>1601.59</v>
      </c>
      <c r="L148" s="35">
        <v>1407.3600000000001</v>
      </c>
      <c r="M148" s="35">
        <v>1171.8</v>
      </c>
    </row>
    <row r="151" spans="11:13" x14ac:dyDescent="0.25">
      <c r="K151" s="35">
        <v>67.2</v>
      </c>
      <c r="L151" s="35">
        <v>72.833333333333329</v>
      </c>
      <c r="M151" s="35">
        <v>73</v>
      </c>
    </row>
    <row r="152" spans="11:13" x14ac:dyDescent="0.25">
      <c r="K152" s="35">
        <v>3061950.25</v>
      </c>
      <c r="L152" s="35">
        <v>2963434.75</v>
      </c>
      <c r="M152" s="35">
        <v>2620670.25</v>
      </c>
    </row>
    <row r="153" spans="11:13" x14ac:dyDescent="0.25">
      <c r="K153" s="35">
        <v>367434.03</v>
      </c>
      <c r="L153" s="35">
        <v>370711.74</v>
      </c>
      <c r="M153" s="35">
        <v>328341.37999999995</v>
      </c>
    </row>
    <row r="154" spans="11:13" x14ac:dyDescent="0.25">
      <c r="K154" s="35">
        <v>61239.02</v>
      </c>
      <c r="L154" s="35">
        <v>59268.71</v>
      </c>
      <c r="M154" s="35">
        <v>52413.42</v>
      </c>
    </row>
    <row r="155" spans="11:13" x14ac:dyDescent="0.25">
      <c r="K155" s="35">
        <v>16</v>
      </c>
      <c r="L155" s="35">
        <v>16</v>
      </c>
      <c r="M155" s="35">
        <v>16</v>
      </c>
    </row>
    <row r="156" spans="11:13" x14ac:dyDescent="0.25">
      <c r="K156" s="35">
        <v>342263</v>
      </c>
      <c r="L156" s="35">
        <v>317908</v>
      </c>
      <c r="M156" s="35">
        <v>287397</v>
      </c>
    </row>
    <row r="157" spans="11:13" x14ac:dyDescent="0.25">
      <c r="K157" s="35">
        <v>41071.56</v>
      </c>
      <c r="L157" s="35">
        <v>38148.959999999999</v>
      </c>
      <c r="M157" s="35">
        <v>34487.64</v>
      </c>
    </row>
    <row r="158" spans="11:13" x14ac:dyDescent="0.25">
      <c r="K158" s="35">
        <v>6845.26</v>
      </c>
      <c r="L158" s="35">
        <v>6358.16</v>
      </c>
      <c r="M158" s="35">
        <v>5747.94</v>
      </c>
    </row>
    <row r="159" spans="11:13" x14ac:dyDescent="0.25">
      <c r="K159" s="35">
        <v>51.2</v>
      </c>
      <c r="L159" s="35">
        <v>56</v>
      </c>
      <c r="M159" s="35">
        <v>56</v>
      </c>
    </row>
    <row r="160" spans="11:13" x14ac:dyDescent="0.25">
      <c r="K160" s="35">
        <v>2719687.25</v>
      </c>
      <c r="L160" s="35">
        <v>2601116.25</v>
      </c>
      <c r="M160" s="35">
        <v>2292505.75</v>
      </c>
    </row>
    <row r="161" spans="11:13" x14ac:dyDescent="0.25">
      <c r="K161" s="35">
        <v>326362.46999999997</v>
      </c>
      <c r="L161" s="35">
        <v>312133.94999999995</v>
      </c>
      <c r="M161" s="35">
        <v>275100.69</v>
      </c>
    </row>
    <row r="162" spans="11:13" x14ac:dyDescent="0.25">
      <c r="K162" s="35">
        <v>54393.760000000002</v>
      </c>
      <c r="L162" s="35">
        <v>52022.340000000004</v>
      </c>
      <c r="M162" s="35">
        <v>45850.130000000005</v>
      </c>
    </row>
    <row r="163" spans="11:13" x14ac:dyDescent="0.25">
      <c r="K163" s="35">
        <v>0</v>
      </c>
      <c r="L163" s="35">
        <v>0</v>
      </c>
      <c r="M163" s="35">
        <v>0</v>
      </c>
    </row>
    <row r="164" spans="11:13" x14ac:dyDescent="0.25">
      <c r="K164" s="35">
        <v>0</v>
      </c>
      <c r="L164" s="35">
        <v>0</v>
      </c>
      <c r="M164" s="35">
        <v>0</v>
      </c>
    </row>
    <row r="165" spans="11:13" x14ac:dyDescent="0.25">
      <c r="K165" s="35">
        <v>0</v>
      </c>
      <c r="L165" s="35">
        <v>0</v>
      </c>
      <c r="M165" s="35">
        <v>0</v>
      </c>
    </row>
    <row r="166" spans="11:13" x14ac:dyDescent="0.25">
      <c r="K166" s="35">
        <v>0</v>
      </c>
      <c r="L166" s="35">
        <v>0</v>
      </c>
      <c r="M166" s="35">
        <v>0</v>
      </c>
    </row>
    <row r="167" spans="11:13" x14ac:dyDescent="0.25">
      <c r="K167" s="35">
        <v>0</v>
      </c>
      <c r="L167" s="35">
        <v>1</v>
      </c>
      <c r="M167" s="35">
        <v>1</v>
      </c>
    </row>
    <row r="168" spans="11:13" x14ac:dyDescent="0.25">
      <c r="K168" s="35">
        <v>0</v>
      </c>
      <c r="L168" s="35">
        <v>44410.5</v>
      </c>
      <c r="M168" s="35">
        <v>40767.5</v>
      </c>
    </row>
    <row r="169" spans="11:13" x14ac:dyDescent="0.25">
      <c r="K169" s="35">
        <v>0</v>
      </c>
      <c r="L169" s="35">
        <v>20428.829999999998</v>
      </c>
      <c r="M169" s="35">
        <v>18753.05</v>
      </c>
    </row>
    <row r="170" spans="11:13" x14ac:dyDescent="0.25">
      <c r="K170" s="35">
        <v>0</v>
      </c>
      <c r="L170" s="35">
        <v>888.21000000000015</v>
      </c>
      <c r="M170" s="35">
        <v>815.34999999999991</v>
      </c>
    </row>
    <row r="173" spans="11:13" x14ac:dyDescent="0.25">
      <c r="K173" s="35">
        <v>207</v>
      </c>
      <c r="L173" s="35">
        <v>207</v>
      </c>
      <c r="M173" s="35">
        <v>207</v>
      </c>
    </row>
    <row r="174" spans="11:13" x14ac:dyDescent="0.25">
      <c r="K174" s="35">
        <v>17701195.75</v>
      </c>
      <c r="L174" s="35">
        <v>19555560.550000001</v>
      </c>
      <c r="M174" s="35">
        <v>19093476.190000001</v>
      </c>
    </row>
    <row r="175" spans="11:13" x14ac:dyDescent="0.25">
      <c r="K175" s="35">
        <v>2124143.48</v>
      </c>
      <c r="L175" s="35">
        <v>2346667.2699999996</v>
      </c>
      <c r="M175" s="35">
        <v>2291217.1399999997</v>
      </c>
    </row>
    <row r="176" spans="11:13" x14ac:dyDescent="0.25">
      <c r="K176" s="35">
        <v>354023.91</v>
      </c>
      <c r="L176" s="35">
        <v>391111.23</v>
      </c>
      <c r="M176" s="35">
        <v>381869.53</v>
      </c>
    </row>
    <row r="177" spans="11:13" x14ac:dyDescent="0.25">
      <c r="K177" s="35">
        <v>30</v>
      </c>
      <c r="L177" s="35">
        <v>30</v>
      </c>
      <c r="M177" s="35">
        <v>30</v>
      </c>
    </row>
    <row r="178" spans="11:13" x14ac:dyDescent="0.25">
      <c r="K178" s="35">
        <v>883023</v>
      </c>
      <c r="L178" s="35">
        <v>929017</v>
      </c>
      <c r="M178" s="35">
        <v>812577</v>
      </c>
    </row>
    <row r="179" spans="11:13" x14ac:dyDescent="0.25">
      <c r="K179" s="35">
        <v>105962.76000000001</v>
      </c>
      <c r="L179" s="35">
        <v>111482.04</v>
      </c>
      <c r="M179" s="35">
        <v>97509.239999999991</v>
      </c>
    </row>
    <row r="180" spans="11:13" x14ac:dyDescent="0.25">
      <c r="K180" s="35">
        <v>17660.46</v>
      </c>
      <c r="L180" s="35">
        <v>18580.34</v>
      </c>
      <c r="M180" s="35">
        <v>16251.54</v>
      </c>
    </row>
    <row r="181" spans="11:13" x14ac:dyDescent="0.25">
      <c r="K181" s="35">
        <v>177</v>
      </c>
      <c r="L181" s="35">
        <v>177</v>
      </c>
      <c r="M181" s="35">
        <v>177</v>
      </c>
    </row>
    <row r="182" spans="11:13" x14ac:dyDescent="0.25">
      <c r="K182" s="35">
        <v>16818172.75</v>
      </c>
      <c r="L182" s="35">
        <v>18626543.550000001</v>
      </c>
      <c r="M182" s="35">
        <v>18280899.189999998</v>
      </c>
    </row>
    <row r="183" spans="11:13" x14ac:dyDescent="0.25">
      <c r="K183" s="35">
        <v>2018180.72</v>
      </c>
      <c r="L183" s="35">
        <v>2235185.23</v>
      </c>
      <c r="M183" s="35">
        <v>2193707.9</v>
      </c>
    </row>
    <row r="184" spans="11:13" x14ac:dyDescent="0.25">
      <c r="K184" s="35">
        <v>336363.44999999995</v>
      </c>
      <c r="L184" s="35">
        <v>372530.89</v>
      </c>
      <c r="M184" s="35">
        <v>365617.99</v>
      </c>
    </row>
    <row r="185" spans="11:13" x14ac:dyDescent="0.25">
      <c r="K185" s="35">
        <v>0</v>
      </c>
      <c r="L185" s="35">
        <v>0</v>
      </c>
      <c r="M185" s="35">
        <v>0</v>
      </c>
    </row>
    <row r="186" spans="11:13" x14ac:dyDescent="0.25">
      <c r="K186" s="35">
        <v>0</v>
      </c>
      <c r="L186" s="35">
        <v>0</v>
      </c>
      <c r="M186" s="35">
        <v>0</v>
      </c>
    </row>
    <row r="187" spans="11:13" x14ac:dyDescent="0.25">
      <c r="K187" s="35">
        <v>0</v>
      </c>
      <c r="L187" s="35">
        <v>0</v>
      </c>
      <c r="M187" s="35">
        <v>0</v>
      </c>
    </row>
    <row r="188" spans="11:13" x14ac:dyDescent="0.25">
      <c r="K188" s="35">
        <v>0</v>
      </c>
      <c r="L188" s="35">
        <v>0</v>
      </c>
      <c r="M188" s="35">
        <v>0</v>
      </c>
    </row>
    <row r="189" spans="11:13" x14ac:dyDescent="0.25">
      <c r="K189" s="35">
        <v>0</v>
      </c>
      <c r="L189" s="35">
        <v>0</v>
      </c>
      <c r="M189" s="35">
        <v>0</v>
      </c>
    </row>
    <row r="190" spans="11:13" x14ac:dyDescent="0.25">
      <c r="K190" s="35">
        <v>0</v>
      </c>
      <c r="L190" s="35">
        <v>0</v>
      </c>
      <c r="M190" s="35">
        <v>0</v>
      </c>
    </row>
    <row r="191" spans="11:13" x14ac:dyDescent="0.25">
      <c r="K191" s="35">
        <v>0</v>
      </c>
      <c r="L191" s="35">
        <v>0</v>
      </c>
      <c r="M191" s="35">
        <v>0</v>
      </c>
    </row>
    <row r="192" spans="11:13" x14ac:dyDescent="0.25">
      <c r="K192" s="35">
        <v>0</v>
      </c>
      <c r="L192" s="35">
        <v>0</v>
      </c>
      <c r="M192" s="35">
        <v>0</v>
      </c>
    </row>
    <row r="195" spans="11:13" x14ac:dyDescent="0.25">
      <c r="K195" s="35">
        <v>125</v>
      </c>
      <c r="L195" s="35">
        <v>125</v>
      </c>
      <c r="M195" s="35">
        <v>120.2</v>
      </c>
    </row>
    <row r="196" spans="11:13" x14ac:dyDescent="0.25">
      <c r="K196" s="35">
        <v>6652602.9799999995</v>
      </c>
      <c r="L196" s="35">
        <v>5425463.6200000001</v>
      </c>
      <c r="M196" s="35">
        <v>5384393.0199999996</v>
      </c>
    </row>
    <row r="197" spans="11:13" x14ac:dyDescent="0.25">
      <c r="K197" s="35">
        <v>798312.37000000011</v>
      </c>
      <c r="L197" s="35">
        <v>651055.63</v>
      </c>
      <c r="M197" s="35">
        <v>646127.15</v>
      </c>
    </row>
    <row r="198" spans="11:13" x14ac:dyDescent="0.25">
      <c r="K198" s="35">
        <v>133052.04999999999</v>
      </c>
      <c r="L198" s="35">
        <v>108509.28</v>
      </c>
      <c r="M198" s="35">
        <v>107687.86</v>
      </c>
    </row>
    <row r="199" spans="11:13" x14ac:dyDescent="0.25">
      <c r="K199" s="35">
        <v>30</v>
      </c>
      <c r="L199" s="35">
        <v>30</v>
      </c>
      <c r="M199" s="35">
        <v>30</v>
      </c>
    </row>
    <row r="200" spans="11:13" x14ac:dyDescent="0.25">
      <c r="K200" s="35">
        <v>595018</v>
      </c>
      <c r="L200" s="35">
        <v>513489</v>
      </c>
      <c r="M200" s="35">
        <v>496702</v>
      </c>
    </row>
    <row r="201" spans="11:13" x14ac:dyDescent="0.25">
      <c r="K201" s="35">
        <v>71402.16</v>
      </c>
      <c r="L201" s="35">
        <v>61618.68</v>
      </c>
      <c r="M201" s="35">
        <v>59604.24</v>
      </c>
    </row>
    <row r="202" spans="11:13" x14ac:dyDescent="0.25">
      <c r="K202" s="35">
        <v>11900.36</v>
      </c>
      <c r="L202" s="35">
        <v>10269.780000000001</v>
      </c>
      <c r="M202" s="35">
        <v>9934.0400000000009</v>
      </c>
    </row>
    <row r="203" spans="11:13" x14ac:dyDescent="0.25">
      <c r="K203" s="35">
        <v>95</v>
      </c>
      <c r="L203" s="35">
        <v>95</v>
      </c>
      <c r="M203" s="35">
        <v>90.2</v>
      </c>
    </row>
    <row r="204" spans="11:13" x14ac:dyDescent="0.25">
      <c r="K204" s="35">
        <v>6057584.9799999995</v>
      </c>
      <c r="L204" s="35">
        <v>4911974.62</v>
      </c>
      <c r="M204" s="35">
        <v>4887691.0199999996</v>
      </c>
    </row>
    <row r="205" spans="11:13" x14ac:dyDescent="0.25">
      <c r="K205" s="35">
        <v>726910.21</v>
      </c>
      <c r="L205" s="35">
        <v>589436.94999999995</v>
      </c>
      <c r="M205" s="35">
        <v>586522.91</v>
      </c>
    </row>
    <row r="206" spans="11:13" x14ac:dyDescent="0.25">
      <c r="K206" s="35">
        <v>121151.69</v>
      </c>
      <c r="L206" s="35">
        <v>98239.5</v>
      </c>
      <c r="M206" s="35">
        <v>97753.82</v>
      </c>
    </row>
    <row r="207" spans="11:13" x14ac:dyDescent="0.25">
      <c r="K207" s="35">
        <v>0</v>
      </c>
      <c r="L207" s="35">
        <v>0</v>
      </c>
      <c r="M207" s="35">
        <v>0</v>
      </c>
    </row>
    <row r="208" spans="11:13" x14ac:dyDescent="0.25">
      <c r="K208" s="35">
        <v>0</v>
      </c>
      <c r="L208" s="35">
        <v>0</v>
      </c>
      <c r="M208" s="35">
        <v>0</v>
      </c>
    </row>
    <row r="209" spans="11:13" x14ac:dyDescent="0.25">
      <c r="K209" s="35">
        <v>0</v>
      </c>
      <c r="L209" s="35">
        <v>0</v>
      </c>
      <c r="M209" s="35">
        <v>0</v>
      </c>
    </row>
    <row r="210" spans="11:13" x14ac:dyDescent="0.25">
      <c r="K210" s="35">
        <v>0</v>
      </c>
      <c r="L210" s="35">
        <v>0</v>
      </c>
      <c r="M210" s="35">
        <v>0</v>
      </c>
    </row>
    <row r="211" spans="11:13" x14ac:dyDescent="0.25">
      <c r="K211" s="35">
        <v>0</v>
      </c>
      <c r="L211" s="35">
        <v>0</v>
      </c>
      <c r="M211" s="35">
        <v>0</v>
      </c>
    </row>
    <row r="212" spans="11:13" x14ac:dyDescent="0.25">
      <c r="K212" s="35">
        <v>0</v>
      </c>
      <c r="L212" s="35">
        <v>0</v>
      </c>
      <c r="M212" s="35">
        <v>0</v>
      </c>
    </row>
    <row r="213" spans="11:13" x14ac:dyDescent="0.25">
      <c r="K213" s="35">
        <v>0</v>
      </c>
      <c r="L213" s="35">
        <v>0</v>
      </c>
      <c r="M213" s="35">
        <v>0</v>
      </c>
    </row>
    <row r="214" spans="11:13" x14ac:dyDescent="0.25">
      <c r="K214" s="35">
        <v>0</v>
      </c>
      <c r="L214" s="35">
        <v>0</v>
      </c>
      <c r="M214" s="35">
        <v>0</v>
      </c>
    </row>
    <row r="217" spans="11:13" x14ac:dyDescent="0.25">
      <c r="K217" s="35">
        <v>132</v>
      </c>
      <c r="L217" s="35">
        <v>132.33333333333334</v>
      </c>
      <c r="M217" s="35">
        <v>132</v>
      </c>
    </row>
    <row r="218" spans="11:13" x14ac:dyDescent="0.25">
      <c r="K218" s="35">
        <v>9752361</v>
      </c>
      <c r="L218" s="35">
        <v>9054783</v>
      </c>
      <c r="M218" s="35">
        <v>10145531</v>
      </c>
    </row>
    <row r="219" spans="11:13" x14ac:dyDescent="0.25">
      <c r="K219" s="35">
        <v>1200157.4200000002</v>
      </c>
      <c r="L219" s="35">
        <v>1125543.4000000001</v>
      </c>
      <c r="M219" s="35">
        <v>1256954.72</v>
      </c>
    </row>
    <row r="220" spans="11:13" x14ac:dyDescent="0.25">
      <c r="K220" s="35">
        <v>195047.24</v>
      </c>
      <c r="L220" s="35">
        <v>181095.67</v>
      </c>
      <c r="M220" s="35">
        <v>202910.62999999998</v>
      </c>
    </row>
    <row r="221" spans="11:13" x14ac:dyDescent="0.25">
      <c r="K221" s="35">
        <v>28</v>
      </c>
      <c r="L221" s="35">
        <v>28</v>
      </c>
      <c r="M221" s="35">
        <v>28</v>
      </c>
    </row>
    <row r="222" spans="11:13" x14ac:dyDescent="0.25">
      <c r="K222" s="35">
        <v>737709</v>
      </c>
      <c r="L222" s="35">
        <v>669666</v>
      </c>
      <c r="M222" s="35">
        <v>576712</v>
      </c>
    </row>
    <row r="223" spans="11:13" x14ac:dyDescent="0.25">
      <c r="K223" s="35">
        <v>88525.08</v>
      </c>
      <c r="L223" s="35">
        <v>80359.920000000013</v>
      </c>
      <c r="M223" s="35">
        <v>69205.440000000002</v>
      </c>
    </row>
    <row r="224" spans="11:13" x14ac:dyDescent="0.25">
      <c r="K224" s="35">
        <v>14754.179999999998</v>
      </c>
      <c r="L224" s="35">
        <v>13393.32</v>
      </c>
      <c r="M224" s="35">
        <v>11534.240000000002</v>
      </c>
    </row>
    <row r="225" spans="11:13" x14ac:dyDescent="0.25">
      <c r="K225" s="35">
        <v>103</v>
      </c>
      <c r="L225" s="35">
        <v>103.33333333333333</v>
      </c>
      <c r="M225" s="35">
        <v>103</v>
      </c>
    </row>
    <row r="226" spans="11:13" x14ac:dyDescent="0.25">
      <c r="K226" s="35">
        <v>8926787</v>
      </c>
      <c r="L226" s="35">
        <v>8270501</v>
      </c>
      <c r="M226" s="35">
        <v>9452669</v>
      </c>
    </row>
    <row r="227" spans="11:13" x14ac:dyDescent="0.25">
      <c r="K227" s="35">
        <v>1071214.44</v>
      </c>
      <c r="L227" s="35">
        <v>992460.12</v>
      </c>
      <c r="M227" s="35">
        <v>1134320.2800000003</v>
      </c>
    </row>
    <row r="228" spans="11:13" x14ac:dyDescent="0.25">
      <c r="K228" s="35">
        <v>178535.75999999998</v>
      </c>
      <c r="L228" s="35">
        <v>165410.03</v>
      </c>
      <c r="M228" s="35">
        <v>189053.38999999998</v>
      </c>
    </row>
    <row r="229" spans="11:13" x14ac:dyDescent="0.25">
      <c r="K229" s="35">
        <v>0</v>
      </c>
      <c r="L229" s="35">
        <v>0</v>
      </c>
      <c r="M229" s="35">
        <v>0</v>
      </c>
    </row>
    <row r="230" spans="11:13" x14ac:dyDescent="0.25">
      <c r="K230" s="35">
        <v>0</v>
      </c>
      <c r="L230" s="35">
        <v>0</v>
      </c>
      <c r="M230" s="35">
        <v>0</v>
      </c>
    </row>
    <row r="231" spans="11:13" x14ac:dyDescent="0.25">
      <c r="K231" s="35">
        <v>0</v>
      </c>
      <c r="L231" s="35">
        <v>0</v>
      </c>
      <c r="M231" s="35">
        <v>0</v>
      </c>
    </row>
    <row r="232" spans="11:13" x14ac:dyDescent="0.25">
      <c r="K232" s="35">
        <v>0</v>
      </c>
      <c r="L232" s="35">
        <v>0</v>
      </c>
      <c r="M232" s="35">
        <v>0</v>
      </c>
    </row>
    <row r="233" spans="11:13" x14ac:dyDescent="0.25">
      <c r="K233" s="35">
        <v>1</v>
      </c>
      <c r="L233" s="35">
        <v>1</v>
      </c>
      <c r="M233" s="35">
        <v>1</v>
      </c>
    </row>
    <row r="234" spans="11:13" x14ac:dyDescent="0.25">
      <c r="K234" s="35">
        <v>87865</v>
      </c>
      <c r="L234" s="35">
        <v>114616</v>
      </c>
      <c r="M234" s="35">
        <v>116150</v>
      </c>
    </row>
    <row r="235" spans="11:13" x14ac:dyDescent="0.25">
      <c r="K235" s="35">
        <v>40417.9</v>
      </c>
      <c r="L235" s="35">
        <v>52723.360000000001</v>
      </c>
      <c r="M235" s="35">
        <v>53429</v>
      </c>
    </row>
    <row r="236" spans="11:13" x14ac:dyDescent="0.25">
      <c r="K236" s="35">
        <v>1757.3000000000002</v>
      </c>
      <c r="L236" s="35">
        <v>2292.3200000000002</v>
      </c>
      <c r="M236" s="35">
        <v>2322.9999999999995</v>
      </c>
    </row>
    <row r="239" spans="11:13" x14ac:dyDescent="0.25">
      <c r="K239" s="35">
        <v>50</v>
      </c>
      <c r="L239" s="35">
        <v>50</v>
      </c>
      <c r="M239" s="35">
        <v>50</v>
      </c>
    </row>
    <row r="240" spans="11:13" x14ac:dyDescent="0.25">
      <c r="K240" s="35">
        <v>2851057.1</v>
      </c>
      <c r="L240" s="35">
        <v>3986285.6000000006</v>
      </c>
      <c r="M240" s="35">
        <v>2973907.91</v>
      </c>
    </row>
    <row r="241" spans="11:13" x14ac:dyDescent="0.25">
      <c r="K241" s="35">
        <v>342126.85000000003</v>
      </c>
      <c r="L241" s="35">
        <v>478354.26</v>
      </c>
      <c r="M241" s="35">
        <v>356868.94999999995</v>
      </c>
    </row>
    <row r="242" spans="11:13" x14ac:dyDescent="0.25">
      <c r="K242" s="35">
        <v>57021.15</v>
      </c>
      <c r="L242" s="35">
        <v>79725.709999999992</v>
      </c>
      <c r="M242" s="35">
        <v>59478.159999999996</v>
      </c>
    </row>
    <row r="243" spans="11:13" x14ac:dyDescent="0.25">
      <c r="K243" s="35">
        <v>0</v>
      </c>
      <c r="L243" s="35">
        <v>0</v>
      </c>
      <c r="M243" s="35">
        <v>0</v>
      </c>
    </row>
    <row r="244" spans="11:13" x14ac:dyDescent="0.25">
      <c r="K244" s="35">
        <v>0</v>
      </c>
      <c r="L244" s="35">
        <v>0</v>
      </c>
      <c r="M244" s="35">
        <v>0</v>
      </c>
    </row>
    <row r="245" spans="11:13" x14ac:dyDescent="0.25">
      <c r="K245" s="35">
        <v>0</v>
      </c>
      <c r="L245" s="35">
        <v>0</v>
      </c>
      <c r="M245" s="35">
        <v>0</v>
      </c>
    </row>
    <row r="246" spans="11:13" x14ac:dyDescent="0.25">
      <c r="K246" s="35">
        <v>0</v>
      </c>
      <c r="L246" s="35">
        <v>0</v>
      </c>
      <c r="M246" s="35">
        <v>0</v>
      </c>
    </row>
    <row r="247" spans="11:13" x14ac:dyDescent="0.25">
      <c r="K247" s="35">
        <v>50</v>
      </c>
      <c r="L247" s="35">
        <v>50</v>
      </c>
      <c r="M247" s="35">
        <v>50</v>
      </c>
    </row>
    <row r="248" spans="11:13" x14ac:dyDescent="0.25">
      <c r="K248" s="35">
        <v>2851057.1</v>
      </c>
      <c r="L248" s="35">
        <v>3986285.6000000006</v>
      </c>
      <c r="M248" s="35">
        <v>2973907.91</v>
      </c>
    </row>
    <row r="249" spans="11:13" x14ac:dyDescent="0.25">
      <c r="K249" s="35">
        <v>342126.85000000003</v>
      </c>
      <c r="L249" s="35">
        <v>478354.26</v>
      </c>
      <c r="M249" s="35">
        <v>356868.94999999995</v>
      </c>
    </row>
    <row r="250" spans="11:13" x14ac:dyDescent="0.25">
      <c r="K250" s="35">
        <v>57021.15</v>
      </c>
      <c r="L250" s="35">
        <v>79725.709999999992</v>
      </c>
      <c r="M250" s="35">
        <v>59478.159999999996</v>
      </c>
    </row>
    <row r="251" spans="11:13" x14ac:dyDescent="0.25">
      <c r="K251" s="35">
        <v>0</v>
      </c>
      <c r="L251" s="35">
        <v>0</v>
      </c>
      <c r="M251" s="35">
        <v>0</v>
      </c>
    </row>
    <row r="252" spans="11:13" x14ac:dyDescent="0.25">
      <c r="K252" s="35">
        <v>0</v>
      </c>
      <c r="L252" s="35">
        <v>0</v>
      </c>
      <c r="M252" s="35">
        <v>0</v>
      </c>
    </row>
    <row r="253" spans="11:13" x14ac:dyDescent="0.25">
      <c r="K253" s="35">
        <v>0</v>
      </c>
      <c r="L253" s="35">
        <v>0</v>
      </c>
      <c r="M253" s="35">
        <v>0</v>
      </c>
    </row>
    <row r="254" spans="11:13" x14ac:dyDescent="0.25">
      <c r="K254" s="35">
        <v>0</v>
      </c>
      <c r="L254" s="35">
        <v>0</v>
      </c>
      <c r="M254" s="35">
        <v>0</v>
      </c>
    </row>
    <row r="255" spans="11:13" x14ac:dyDescent="0.25">
      <c r="K255" s="35">
        <v>0</v>
      </c>
      <c r="L255" s="35">
        <v>0</v>
      </c>
      <c r="M255" s="35">
        <v>0</v>
      </c>
    </row>
    <row r="256" spans="11:13" x14ac:dyDescent="0.25">
      <c r="K256" s="35">
        <v>0</v>
      </c>
      <c r="L256" s="35">
        <v>0</v>
      </c>
      <c r="M256" s="35">
        <v>0</v>
      </c>
    </row>
    <row r="257" spans="6:13" x14ac:dyDescent="0.25">
      <c r="K257" s="35">
        <v>0</v>
      </c>
      <c r="L257" s="35">
        <v>0</v>
      </c>
      <c r="M257" s="35">
        <v>0</v>
      </c>
    </row>
    <row r="258" spans="6:13" x14ac:dyDescent="0.25">
      <c r="F258" s="47"/>
      <c r="K258" s="35">
        <v>0</v>
      </c>
      <c r="L258" s="35">
        <v>0</v>
      </c>
      <c r="M258" s="35">
        <v>0</v>
      </c>
    </row>
    <row r="261" spans="6:13" x14ac:dyDescent="0.25">
      <c r="K261" s="35">
        <v>29.2</v>
      </c>
      <c r="L261" s="35">
        <v>29</v>
      </c>
      <c r="M261" s="35">
        <v>29</v>
      </c>
    </row>
    <row r="262" spans="6:13" x14ac:dyDescent="0.25">
      <c r="K262" s="35">
        <v>459270.57</v>
      </c>
      <c r="L262" s="35">
        <v>310647.55</v>
      </c>
      <c r="M262" s="35">
        <v>565531.5</v>
      </c>
    </row>
    <row r="263" spans="6:13" x14ac:dyDescent="0.25">
      <c r="K263" s="35">
        <v>55112.47</v>
      </c>
      <c r="L263" s="35">
        <v>37277.71</v>
      </c>
      <c r="M263" s="35">
        <v>67863.78</v>
      </c>
    </row>
    <row r="264" spans="6:13" x14ac:dyDescent="0.25">
      <c r="K264" s="35">
        <v>9185.42</v>
      </c>
      <c r="L264" s="35">
        <v>6212.95</v>
      </c>
      <c r="M264" s="35">
        <v>11310.63</v>
      </c>
    </row>
    <row r="265" spans="6:13" x14ac:dyDescent="0.25">
      <c r="K265" s="35">
        <v>0</v>
      </c>
      <c r="L265" s="35">
        <v>0</v>
      </c>
      <c r="M265" s="35">
        <v>0</v>
      </c>
    </row>
    <row r="266" spans="6:13" x14ac:dyDescent="0.25">
      <c r="K266" s="35">
        <v>0</v>
      </c>
      <c r="L266" s="35">
        <v>0</v>
      </c>
      <c r="M266" s="35">
        <v>0</v>
      </c>
    </row>
    <row r="267" spans="6:13" x14ac:dyDescent="0.25">
      <c r="K267" s="35">
        <v>0</v>
      </c>
      <c r="L267" s="35">
        <v>0</v>
      </c>
      <c r="M267" s="35">
        <v>0</v>
      </c>
    </row>
    <row r="268" spans="6:13" x14ac:dyDescent="0.25">
      <c r="K268" s="35">
        <v>0</v>
      </c>
      <c r="L268" s="35">
        <v>0</v>
      </c>
      <c r="M268" s="35">
        <v>0</v>
      </c>
    </row>
    <row r="269" spans="6:13" x14ac:dyDescent="0.25">
      <c r="K269" s="35">
        <v>29.2</v>
      </c>
      <c r="L269" s="35">
        <v>29</v>
      </c>
      <c r="M269" s="35">
        <v>29</v>
      </c>
    </row>
    <row r="270" spans="6:13" x14ac:dyDescent="0.25">
      <c r="K270" s="35">
        <v>459270.57</v>
      </c>
      <c r="L270" s="35">
        <v>310647.55</v>
      </c>
      <c r="M270" s="35">
        <v>565531.5</v>
      </c>
    </row>
    <row r="271" spans="6:13" x14ac:dyDescent="0.25">
      <c r="K271" s="35">
        <v>55112.47</v>
      </c>
      <c r="L271" s="35">
        <v>37277.71</v>
      </c>
      <c r="M271" s="35">
        <v>67863.78</v>
      </c>
    </row>
    <row r="272" spans="6:13" x14ac:dyDescent="0.25">
      <c r="K272" s="35">
        <v>9185.42</v>
      </c>
      <c r="L272" s="35">
        <v>6212.95</v>
      </c>
      <c r="M272" s="35">
        <v>11310.63</v>
      </c>
    </row>
    <row r="273" spans="4:13" x14ac:dyDescent="0.25">
      <c r="K273" s="35">
        <v>0</v>
      </c>
      <c r="L273" s="35">
        <v>0</v>
      </c>
      <c r="M273" s="35">
        <v>0</v>
      </c>
    </row>
    <row r="274" spans="4:13" x14ac:dyDescent="0.25">
      <c r="K274" s="35">
        <v>0</v>
      </c>
      <c r="L274" s="35">
        <v>0</v>
      </c>
      <c r="M274" s="35">
        <v>0</v>
      </c>
    </row>
    <row r="275" spans="4:13" x14ac:dyDescent="0.25">
      <c r="K275" s="35">
        <v>0</v>
      </c>
      <c r="L275" s="35">
        <v>0</v>
      </c>
      <c r="M275" s="35">
        <v>0</v>
      </c>
    </row>
    <row r="276" spans="4:13" x14ac:dyDescent="0.25">
      <c r="K276" s="35">
        <v>0</v>
      </c>
      <c r="L276" s="35">
        <v>0</v>
      </c>
      <c r="M276" s="35">
        <v>0</v>
      </c>
    </row>
    <row r="277" spans="4:13" x14ac:dyDescent="0.25">
      <c r="K277" s="35">
        <v>0</v>
      </c>
      <c r="L277" s="35">
        <v>0</v>
      </c>
      <c r="M277" s="35">
        <v>0</v>
      </c>
    </row>
    <row r="278" spans="4:13" x14ac:dyDescent="0.25">
      <c r="K278" s="35">
        <v>0</v>
      </c>
      <c r="L278" s="35">
        <v>0</v>
      </c>
      <c r="M278" s="35">
        <v>0</v>
      </c>
    </row>
    <row r="279" spans="4:13" x14ac:dyDescent="0.25">
      <c r="K279" s="35">
        <v>0</v>
      </c>
      <c r="L279" s="35">
        <v>0</v>
      </c>
      <c r="M279" s="35">
        <v>0</v>
      </c>
    </row>
    <row r="280" spans="4:13" x14ac:dyDescent="0.25">
      <c r="K280" s="35">
        <v>0</v>
      </c>
      <c r="L280" s="35">
        <v>0</v>
      </c>
      <c r="M280" s="35">
        <v>0</v>
      </c>
    </row>
    <row r="283" spans="4:13" x14ac:dyDescent="0.25">
      <c r="D283" s="35">
        <v>1135.2</v>
      </c>
      <c r="E283" s="35">
        <v>1131</v>
      </c>
      <c r="L283" s="35">
        <v>1191.3333333333335</v>
      </c>
      <c r="M283" s="35">
        <v>1186.2</v>
      </c>
    </row>
    <row r="284" spans="4:13" x14ac:dyDescent="0.25">
      <c r="D284" s="35">
        <v>65916872.020000003</v>
      </c>
      <c r="L284" s="35">
        <v>71342205.979999989</v>
      </c>
      <c r="M284" s="35">
        <v>68446415.489999995</v>
      </c>
    </row>
    <row r="285" spans="4:13" x14ac:dyDescent="0.25">
      <c r="D285" s="35">
        <v>8148073.2399999993</v>
      </c>
      <c r="L285" s="35">
        <v>8729869.4300000016</v>
      </c>
      <c r="M285" s="35">
        <v>8368901.2600000007</v>
      </c>
    </row>
    <row r="286" spans="4:13" x14ac:dyDescent="0.25">
      <c r="D286" s="35">
        <v>1318337.54</v>
      </c>
      <c r="L286" s="35">
        <v>1426844.2099999997</v>
      </c>
      <c r="M286" s="35">
        <v>1368928.38</v>
      </c>
    </row>
    <row r="287" spans="4:13" x14ac:dyDescent="0.25">
      <c r="D287" s="35">
        <v>224</v>
      </c>
      <c r="L287" s="35">
        <v>226</v>
      </c>
      <c r="M287" s="35">
        <v>226</v>
      </c>
    </row>
    <row r="288" spans="4:13" x14ac:dyDescent="0.25">
      <c r="D288" s="35">
        <v>4340957.0199999996</v>
      </c>
      <c r="L288" s="35">
        <v>5035223</v>
      </c>
      <c r="M288" s="35">
        <v>4418302.01</v>
      </c>
    </row>
    <row r="289" spans="4:16" x14ac:dyDescent="0.25">
      <c r="D289" s="35">
        <v>520914.83999999997</v>
      </c>
      <c r="L289" s="35">
        <v>604226.76</v>
      </c>
      <c r="M289" s="35">
        <v>530196.24</v>
      </c>
    </row>
    <row r="290" spans="4:16" x14ac:dyDescent="0.25">
      <c r="D290" s="35">
        <v>86819.14</v>
      </c>
      <c r="L290" s="35">
        <v>100704.45999999999</v>
      </c>
      <c r="M290" s="35">
        <v>88366.040000000023</v>
      </c>
    </row>
    <row r="291" spans="4:16" x14ac:dyDescent="0.25">
      <c r="D291" s="35">
        <v>892</v>
      </c>
      <c r="L291" s="35">
        <v>943.00000000000011</v>
      </c>
      <c r="M291" s="35">
        <v>937.2</v>
      </c>
    </row>
    <row r="292" spans="4:16" x14ac:dyDescent="0.25">
      <c r="D292" s="35">
        <v>60865720.5</v>
      </c>
      <c r="L292" s="35">
        <v>65020129.299999997</v>
      </c>
      <c r="M292" s="35">
        <v>62888138.659999996</v>
      </c>
    </row>
    <row r="293" spans="4:16" x14ac:dyDescent="0.25">
      <c r="D293" s="35">
        <v>7303886.4400000004</v>
      </c>
      <c r="L293" s="35">
        <v>7802415.4999999991</v>
      </c>
      <c r="M293" s="35">
        <v>7546576.6400000015</v>
      </c>
    </row>
    <row r="294" spans="4:16" x14ac:dyDescent="0.25">
      <c r="D294" s="35">
        <v>1217314.51</v>
      </c>
      <c r="L294" s="35">
        <v>1300402.67</v>
      </c>
      <c r="M294" s="35">
        <v>1257762.8399999999</v>
      </c>
    </row>
    <row r="295" spans="4:16" x14ac:dyDescent="0.25">
      <c r="D295" s="35">
        <v>0</v>
      </c>
      <c r="G295" s="35">
        <v>0</v>
      </c>
      <c r="L295" s="35">
        <v>0</v>
      </c>
      <c r="M295" s="35">
        <v>0</v>
      </c>
    </row>
    <row r="296" spans="4:16" x14ac:dyDescent="0.25">
      <c r="D296" s="35">
        <v>0</v>
      </c>
      <c r="L296" s="35">
        <v>0</v>
      </c>
      <c r="M296" s="35">
        <v>0</v>
      </c>
    </row>
    <row r="297" spans="4:16" x14ac:dyDescent="0.25">
      <c r="D297" s="35">
        <v>0</v>
      </c>
      <c r="L297" s="35">
        <v>0</v>
      </c>
      <c r="M297" s="35">
        <v>0</v>
      </c>
    </row>
    <row r="298" spans="4:16" x14ac:dyDescent="0.25">
      <c r="D298" s="35">
        <v>0</v>
      </c>
      <c r="L298" s="35">
        <v>0</v>
      </c>
      <c r="M298" s="35">
        <v>0</v>
      </c>
    </row>
    <row r="299" spans="4:16" x14ac:dyDescent="0.25">
      <c r="D299" s="35">
        <v>18</v>
      </c>
      <c r="L299" s="35">
        <v>9</v>
      </c>
      <c r="M299" s="35">
        <v>10</v>
      </c>
    </row>
    <row r="300" spans="4:16" x14ac:dyDescent="0.25">
      <c r="D300" s="35">
        <v>700143</v>
      </c>
      <c r="L300" s="35">
        <v>496484.5</v>
      </c>
      <c r="M300" s="35">
        <v>456857</v>
      </c>
    </row>
    <row r="301" spans="4:16" x14ac:dyDescent="0.25">
      <c r="D301" s="35">
        <v>322065.78000000003</v>
      </c>
      <c r="L301" s="35">
        <v>228382.87</v>
      </c>
      <c r="M301" s="35">
        <v>210154.22</v>
      </c>
    </row>
    <row r="302" spans="4:16" x14ac:dyDescent="0.25">
      <c r="D302" s="35">
        <v>14002.860000000002</v>
      </c>
      <c r="L302" s="35">
        <v>9929.69</v>
      </c>
      <c r="M302" s="35">
        <v>9137.1400000000012</v>
      </c>
    </row>
    <row r="303" spans="4:16" x14ac:dyDescent="0.25">
      <c r="D303" s="35">
        <v>6</v>
      </c>
      <c r="L303" s="35">
        <v>12.5</v>
      </c>
      <c r="M303" s="35">
        <v>13</v>
      </c>
    </row>
    <row r="304" spans="4:16" x14ac:dyDescent="0.25">
      <c r="D304" s="35">
        <v>10051.5</v>
      </c>
      <c r="L304" s="35">
        <v>790369.18</v>
      </c>
      <c r="M304" s="35">
        <v>683117.82000000007</v>
      </c>
      <c r="P304" s="35">
        <f>P54+P80+P28</f>
        <v>0</v>
      </c>
    </row>
    <row r="305" spans="4:16" x14ac:dyDescent="0.25">
      <c r="D305" s="35">
        <v>1206.18</v>
      </c>
      <c r="L305" s="35">
        <v>94844.3</v>
      </c>
      <c r="M305" s="35">
        <v>81974.13</v>
      </c>
      <c r="P305" s="35">
        <f>P55+P81+P29</f>
        <v>0</v>
      </c>
    </row>
    <row r="306" spans="4:16" x14ac:dyDescent="0.25">
      <c r="D306" s="35">
        <v>201.03</v>
      </c>
      <c r="L306" s="35">
        <v>15807.380000000001</v>
      </c>
      <c r="M306" s="35">
        <v>13662.35</v>
      </c>
      <c r="P306" s="35">
        <f>P56+P82+P30</f>
        <v>0</v>
      </c>
    </row>
  </sheetData>
  <mergeCells count="5">
    <mergeCell ref="A3:F3"/>
    <mergeCell ref="A4:F4"/>
    <mergeCell ref="A5:F5"/>
    <mergeCell ref="A6:F6"/>
    <mergeCell ref="A7:F7"/>
  </mergeCells>
  <pageMargins left="0.38" right="0.25" top="0.5" bottom="0.49" header="0.5" footer="0.5"/>
  <pageSetup scale="4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C3" sqref="C3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4" bestFit="1" customWidth="1"/>
    <col min="7" max="7" width="2.28515625" customWidth="1"/>
    <col min="8" max="8" width="15.5703125" bestFit="1" customWidth="1"/>
    <col min="9" max="9" width="15.42578125" style="1" bestFit="1" customWidth="1"/>
  </cols>
  <sheetData>
    <row r="1" spans="1:9" ht="60.75" customHeight="1" x14ac:dyDescent="0.2">
      <c r="A1" s="79"/>
      <c r="B1" s="79"/>
      <c r="C1" s="79"/>
      <c r="D1" s="79"/>
      <c r="E1" s="79"/>
      <c r="F1" s="79"/>
      <c r="G1" s="79"/>
      <c r="H1" s="79"/>
      <c r="I1"/>
    </row>
    <row r="2" spans="1:9" ht="26.25" customHeight="1" x14ac:dyDescent="0.25">
      <c r="A2" s="77" t="s">
        <v>22</v>
      </c>
      <c r="B2" s="77"/>
      <c r="C2" s="77"/>
      <c r="D2" s="77"/>
      <c r="E2" s="77"/>
      <c r="F2" s="77"/>
      <c r="G2" s="77"/>
      <c r="H2" s="77"/>
      <c r="I2"/>
    </row>
    <row r="3" spans="1:9" ht="26.25" customHeight="1" x14ac:dyDescent="0.2"/>
    <row r="4" spans="1:9" x14ac:dyDescent="0.2">
      <c r="B4" s="10"/>
      <c r="C4" s="10"/>
      <c r="D4" s="12" t="s">
        <v>14</v>
      </c>
      <c r="E4" s="10"/>
      <c r="F4" s="12" t="s">
        <v>17</v>
      </c>
      <c r="G4" s="10"/>
      <c r="H4" s="12" t="s">
        <v>13</v>
      </c>
    </row>
    <row r="5" spans="1:9" x14ac:dyDescent="0.2">
      <c r="A5" s="9"/>
      <c r="B5" s="9" t="s">
        <v>16</v>
      </c>
      <c r="C5" s="9"/>
      <c r="D5" s="11" t="s">
        <v>11</v>
      </c>
      <c r="F5" s="11" t="s">
        <v>11</v>
      </c>
      <c r="H5" s="11" t="s">
        <v>8</v>
      </c>
      <c r="I5" s="2"/>
    </row>
    <row r="7" spans="1:9" x14ac:dyDescent="0.2">
      <c r="A7" s="8" t="s">
        <v>3</v>
      </c>
      <c r="B7" s="8"/>
      <c r="C7" s="8"/>
    </row>
    <row r="8" spans="1:9" x14ac:dyDescent="0.2">
      <c r="A8" t="s">
        <v>1</v>
      </c>
      <c r="B8" s="13">
        <v>29926778.600000001</v>
      </c>
      <c r="D8" s="13">
        <v>86297632.479999989</v>
      </c>
      <c r="E8" s="13"/>
      <c r="F8" s="13">
        <v>15937934.199999999</v>
      </c>
      <c r="G8" s="13"/>
      <c r="H8" s="13">
        <v>102235566.67999999</v>
      </c>
      <c r="I8" s="22"/>
    </row>
    <row r="9" spans="1:9" x14ac:dyDescent="0.2">
      <c r="A9" t="s">
        <v>2</v>
      </c>
      <c r="B9" s="13">
        <v>27067375.16</v>
      </c>
      <c r="D9" s="13">
        <v>77465009.140000015</v>
      </c>
      <c r="E9" s="13"/>
      <c r="F9" s="13">
        <v>14483550.329999998</v>
      </c>
      <c r="G9" s="13"/>
      <c r="H9" s="13">
        <v>91948559.470000014</v>
      </c>
      <c r="I9" s="22"/>
    </row>
    <row r="10" spans="1:9" x14ac:dyDescent="0.2">
      <c r="A10" t="s">
        <v>0</v>
      </c>
      <c r="B10" s="13">
        <v>0</v>
      </c>
      <c r="D10" s="13">
        <v>0</v>
      </c>
      <c r="F10" s="13">
        <v>0</v>
      </c>
      <c r="H10" s="13">
        <v>0</v>
      </c>
      <c r="I10" s="22"/>
    </row>
    <row r="11" spans="1:9" x14ac:dyDescent="0.2">
      <c r="A11" t="s">
        <v>31</v>
      </c>
      <c r="B11" s="13">
        <f>+B8-B9-B10</f>
        <v>2859403.4400000013</v>
      </c>
      <c r="D11" s="13">
        <f>+D8-D9-D10</f>
        <v>8832623.3399999738</v>
      </c>
      <c r="F11" s="13">
        <f>+F8-F9-F10</f>
        <v>1454383.870000001</v>
      </c>
      <c r="H11" s="13">
        <f>+H8-H9-H10</f>
        <v>10287007.209999979</v>
      </c>
      <c r="I11" s="22"/>
    </row>
    <row r="12" spans="1:9" x14ac:dyDescent="0.2">
      <c r="A12" t="s">
        <v>25</v>
      </c>
      <c r="B12" s="13">
        <v>1572671.8920000009</v>
      </c>
      <c r="D12" s="13">
        <v>4857942.8369999863</v>
      </c>
      <c r="F12" s="13">
        <v>799911.12850000069</v>
      </c>
      <c r="H12" s="13">
        <v>5657853.9654999888</v>
      </c>
      <c r="I12" s="22"/>
    </row>
    <row r="13" spans="1:9" x14ac:dyDescent="0.2">
      <c r="A13" t="s">
        <v>32</v>
      </c>
      <c r="B13" s="13">
        <v>1286731.5480000007</v>
      </c>
      <c r="D13" s="13">
        <v>3974680.5029999884</v>
      </c>
      <c r="F13" s="13">
        <v>654472.74150000047</v>
      </c>
      <c r="H13" s="13">
        <v>4629153.2444999907</v>
      </c>
      <c r="I13" s="22"/>
    </row>
    <row r="14" spans="1:9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H1"/>
    <mergeCell ref="A2:H2"/>
  </mergeCells>
  <phoneticPr fontId="4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4.42578125" style="1" bestFit="1" customWidth="1"/>
  </cols>
  <sheetData>
    <row r="1" spans="1:8" ht="60.75" customHeight="1" x14ac:dyDescent="0.2">
      <c r="A1" s="76"/>
      <c r="B1" s="76"/>
      <c r="C1" s="76"/>
      <c r="D1" s="76"/>
      <c r="E1" s="76"/>
      <c r="F1" s="76"/>
    </row>
    <row r="2" spans="1:8" ht="26.25" customHeight="1" x14ac:dyDescent="0.25">
      <c r="A2" s="77" t="s">
        <v>22</v>
      </c>
      <c r="B2" s="78"/>
      <c r="C2" s="78"/>
      <c r="D2" s="78"/>
      <c r="E2" s="78"/>
      <c r="F2" s="78"/>
    </row>
    <row r="3" spans="1:8" ht="26.25" customHeight="1" x14ac:dyDescent="0.2"/>
    <row r="4" spans="1:8" x14ac:dyDescent="0.2">
      <c r="B4" s="10"/>
      <c r="C4" s="10"/>
      <c r="D4" s="12" t="s">
        <v>17</v>
      </c>
      <c r="E4" s="10"/>
      <c r="F4" s="12" t="s">
        <v>13</v>
      </c>
    </row>
    <row r="5" spans="1:8" x14ac:dyDescent="0.2">
      <c r="A5" s="9"/>
      <c r="B5" s="9" t="s">
        <v>18</v>
      </c>
      <c r="C5" s="9"/>
      <c r="D5" s="11" t="s">
        <v>11</v>
      </c>
      <c r="F5" s="11" t="s">
        <v>8</v>
      </c>
      <c r="G5" s="2"/>
    </row>
    <row r="7" spans="1:8" x14ac:dyDescent="0.2">
      <c r="A7" s="8" t="s">
        <v>3</v>
      </c>
      <c r="B7" s="8"/>
      <c r="C7" s="8"/>
    </row>
    <row r="8" spans="1:8" x14ac:dyDescent="0.2">
      <c r="A8" t="s">
        <v>1</v>
      </c>
      <c r="B8" s="13">
        <v>25198116.120000001</v>
      </c>
      <c r="D8" s="13">
        <v>41136050.32</v>
      </c>
      <c r="E8" s="13"/>
      <c r="F8" s="13">
        <v>127433682.79999998</v>
      </c>
      <c r="G8" s="22"/>
    </row>
    <row r="9" spans="1:8" x14ac:dyDescent="0.2">
      <c r="A9" t="s">
        <v>2</v>
      </c>
      <c r="B9" s="13">
        <v>22658585.300000001</v>
      </c>
      <c r="D9" s="13">
        <v>37142135.629999995</v>
      </c>
      <c r="E9" s="13"/>
      <c r="F9" s="13">
        <v>114607144.77000001</v>
      </c>
      <c r="G9" s="22"/>
    </row>
    <row r="10" spans="1:8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8" x14ac:dyDescent="0.2">
      <c r="A11" t="s">
        <v>31</v>
      </c>
      <c r="B11" s="13">
        <f>+B8-B9-B10</f>
        <v>2539530.8200000003</v>
      </c>
      <c r="D11" s="13">
        <f>+D8-D9-D10</f>
        <v>3993914.6900000051</v>
      </c>
      <c r="F11" s="13">
        <f>+F8-F9-F10</f>
        <v>12826538.029999971</v>
      </c>
      <c r="G11" s="22"/>
    </row>
    <row r="12" spans="1:8" x14ac:dyDescent="0.2">
      <c r="A12" t="s">
        <v>25</v>
      </c>
      <c r="B12" s="13">
        <v>1396741.9510000004</v>
      </c>
      <c r="D12" s="13">
        <v>2196653.0795000028</v>
      </c>
      <c r="F12" s="13">
        <v>7054595.9164999845</v>
      </c>
      <c r="G12" s="22"/>
      <c r="H12" s="13"/>
    </row>
    <row r="13" spans="1:8" x14ac:dyDescent="0.2">
      <c r="A13" t="s">
        <v>32</v>
      </c>
      <c r="B13" s="13">
        <v>1142788.8690000002</v>
      </c>
      <c r="D13" s="13">
        <v>1797261.6105000023</v>
      </c>
      <c r="F13" s="13">
        <v>5771942.1134999869</v>
      </c>
      <c r="G13" s="22"/>
      <c r="H13" s="13"/>
    </row>
    <row r="14" spans="1:8" x14ac:dyDescent="0.2">
      <c r="A14" t="s">
        <v>5</v>
      </c>
      <c r="B14" s="18">
        <v>1099</v>
      </c>
    </row>
    <row r="17" spans="1:1" x14ac:dyDescent="0.2">
      <c r="A17" s="19" t="s">
        <v>33</v>
      </c>
    </row>
    <row r="18" spans="1:1" x14ac:dyDescent="0.2">
      <c r="A18" s="24" t="s">
        <v>36</v>
      </c>
    </row>
    <row r="19" spans="1:1" x14ac:dyDescent="0.2">
      <c r="A19" s="24" t="s">
        <v>35</v>
      </c>
    </row>
    <row r="20" spans="1:1" x14ac:dyDescent="0.2">
      <c r="A20" s="24" t="s">
        <v>34</v>
      </c>
    </row>
  </sheetData>
  <mergeCells count="2">
    <mergeCell ref="A1:F1"/>
    <mergeCell ref="A2:F2"/>
  </mergeCells>
  <phoneticPr fontId="4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4.42578125" bestFit="1" customWidth="1"/>
    <col min="3" max="3" width="2" customWidth="1"/>
    <col min="4" max="4" width="14.42578125" bestFit="1" customWidth="1"/>
    <col min="5" max="5" width="2.28515625" customWidth="1"/>
    <col min="6" max="6" width="15.5703125" bestFit="1" customWidth="1"/>
    <col min="7" max="7" width="15.42578125" style="1" bestFit="1" customWidth="1"/>
  </cols>
  <sheetData>
    <row r="1" spans="1:9" ht="60.75" customHeight="1" x14ac:dyDescent="0.2">
      <c r="A1" s="76"/>
      <c r="B1" s="76"/>
      <c r="C1" s="76"/>
      <c r="D1" s="76"/>
      <c r="E1" s="76"/>
      <c r="F1" s="76"/>
    </row>
    <row r="2" spans="1:9" ht="26.25" customHeight="1" x14ac:dyDescent="0.25">
      <c r="A2" s="77" t="s">
        <v>22</v>
      </c>
      <c r="B2" s="78"/>
      <c r="C2" s="78"/>
      <c r="D2" s="78"/>
      <c r="E2" s="78"/>
      <c r="F2" s="78"/>
    </row>
    <row r="3" spans="1:9" ht="26.25" customHeight="1" x14ac:dyDescent="0.2"/>
    <row r="4" spans="1:9" x14ac:dyDescent="0.2">
      <c r="B4" s="10"/>
      <c r="C4" s="10"/>
      <c r="D4" s="12" t="s">
        <v>17</v>
      </c>
      <c r="E4" s="10"/>
      <c r="F4" s="12" t="s">
        <v>13</v>
      </c>
    </row>
    <row r="5" spans="1:9" x14ac:dyDescent="0.2">
      <c r="A5" s="9"/>
      <c r="B5" s="9" t="s">
        <v>20</v>
      </c>
      <c r="C5" s="9"/>
      <c r="D5" s="11" t="s">
        <v>11</v>
      </c>
      <c r="F5" s="11" t="s">
        <v>8</v>
      </c>
      <c r="G5" s="2"/>
    </row>
    <row r="7" spans="1:9" x14ac:dyDescent="0.2">
      <c r="A7" s="8" t="s">
        <v>3</v>
      </c>
      <c r="B7" s="8"/>
      <c r="C7" s="8"/>
    </row>
    <row r="8" spans="1:9" x14ac:dyDescent="0.2">
      <c r="A8" t="s">
        <v>1</v>
      </c>
      <c r="B8" s="13">
        <v>26014930.300000001</v>
      </c>
      <c r="D8" s="13">
        <v>67150980.620000005</v>
      </c>
      <c r="E8" s="13"/>
      <c r="F8" s="13">
        <v>153448613.09999999</v>
      </c>
      <c r="G8" s="22"/>
    </row>
    <row r="9" spans="1:9" x14ac:dyDescent="0.2">
      <c r="A9" t="s">
        <v>2</v>
      </c>
      <c r="B9" s="13">
        <v>23558596.600000001</v>
      </c>
      <c r="D9" s="13">
        <v>60700732.229999997</v>
      </c>
      <c r="E9" s="13"/>
      <c r="F9" s="13">
        <v>138165741.37</v>
      </c>
      <c r="G9" s="22"/>
    </row>
    <row r="10" spans="1:9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9" x14ac:dyDescent="0.2">
      <c r="A11" t="s">
        <v>31</v>
      </c>
      <c r="B11" s="13">
        <f>+B8-B9-B10</f>
        <v>2456333.6999999993</v>
      </c>
      <c r="D11" s="13">
        <f>+D8-D9-D10</f>
        <v>6450248.390000008</v>
      </c>
      <c r="F11" s="13">
        <f>+F8-F9-F10</f>
        <v>15282871.729999989</v>
      </c>
      <c r="G11" s="22"/>
      <c r="I11" s="1"/>
    </row>
    <row r="12" spans="1:9" x14ac:dyDescent="0.2">
      <c r="A12" t="s">
        <v>25</v>
      </c>
      <c r="B12" s="13">
        <v>1350983.5349999997</v>
      </c>
      <c r="D12" s="13">
        <v>3547636.6145000048</v>
      </c>
      <c r="F12" s="13">
        <v>8405579.4514999948</v>
      </c>
      <c r="G12" s="22"/>
    </row>
    <row r="13" spans="1:9" x14ac:dyDescent="0.2">
      <c r="A13" t="s">
        <v>32</v>
      </c>
      <c r="B13" s="13">
        <v>1105350.1649999998</v>
      </c>
      <c r="D13" s="13">
        <v>2902611.7755000037</v>
      </c>
      <c r="F13" s="13">
        <v>6877292.2784999954</v>
      </c>
      <c r="G13" s="22"/>
    </row>
    <row r="14" spans="1:9" x14ac:dyDescent="0.2">
      <c r="A14" t="s">
        <v>5</v>
      </c>
      <c r="B14" s="18">
        <v>1099</v>
      </c>
    </row>
    <row r="17" spans="1:9" x14ac:dyDescent="0.2">
      <c r="A17" s="8" t="s">
        <v>4</v>
      </c>
      <c r="B17" s="8"/>
      <c r="C17" s="8"/>
    </row>
    <row r="18" spans="1:9" x14ac:dyDescent="0.2">
      <c r="A18" t="s">
        <v>1</v>
      </c>
      <c r="B18" s="13">
        <v>506425.9</v>
      </c>
      <c r="C18" s="13"/>
      <c r="D18" s="13">
        <v>506425.9</v>
      </c>
      <c r="E18" s="13"/>
      <c r="F18" s="13">
        <v>506425.9</v>
      </c>
    </row>
    <row r="19" spans="1:9" x14ac:dyDescent="0.2">
      <c r="A19" t="s">
        <v>2</v>
      </c>
      <c r="B19" s="13">
        <v>458808.54</v>
      </c>
      <c r="C19" s="13"/>
      <c r="D19" s="13">
        <v>458808.54</v>
      </c>
      <c r="E19" s="13"/>
      <c r="F19" s="13">
        <v>458808.54</v>
      </c>
    </row>
    <row r="20" spans="1:9" x14ac:dyDescent="0.2">
      <c r="A20" t="s">
        <v>0</v>
      </c>
      <c r="B20" s="13">
        <v>4.6500000000000004</v>
      </c>
      <c r="C20" s="13"/>
      <c r="D20" s="13">
        <v>4.6500000000000004</v>
      </c>
      <c r="E20" s="13"/>
      <c r="F20" s="13">
        <v>4.6500000000000004</v>
      </c>
    </row>
    <row r="21" spans="1:9" x14ac:dyDescent="0.2">
      <c r="A21" t="s">
        <v>31</v>
      </c>
      <c r="B21" s="13">
        <f>+B18-B19-B20</f>
        <v>47612.710000000043</v>
      </c>
      <c r="D21" s="13">
        <f>+D18-D19-D20</f>
        <v>47612.710000000043</v>
      </c>
      <c r="F21" s="13">
        <f>+F18-F19-F20</f>
        <v>47612.710000000043</v>
      </c>
      <c r="I21" s="1"/>
    </row>
    <row r="22" spans="1:9" x14ac:dyDescent="0.2">
      <c r="A22" t="s">
        <v>25</v>
      </c>
      <c r="B22" s="13">
        <v>26186.990500000025</v>
      </c>
      <c r="D22" s="13">
        <v>26186.990500000025</v>
      </c>
      <c r="F22" s="13">
        <v>26186.990500000025</v>
      </c>
      <c r="G22" s="22"/>
    </row>
    <row r="23" spans="1:9" x14ac:dyDescent="0.2">
      <c r="A23" t="s">
        <v>32</v>
      </c>
      <c r="B23" s="13">
        <v>21425.719500000021</v>
      </c>
      <c r="D23" s="13">
        <v>21425.719500000021</v>
      </c>
      <c r="F23" s="13">
        <v>21425.719500000021</v>
      </c>
    </row>
    <row r="24" spans="1:9" x14ac:dyDescent="0.2">
      <c r="A24" t="s">
        <v>5</v>
      </c>
      <c r="B24" s="18">
        <v>2076</v>
      </c>
      <c r="C24" s="13"/>
      <c r="D24" s="13"/>
      <c r="E24" s="13"/>
      <c r="F24" s="13"/>
    </row>
    <row r="27" spans="1:9" x14ac:dyDescent="0.2">
      <c r="A27" s="8" t="s">
        <v>6</v>
      </c>
      <c r="B27" s="8"/>
      <c r="C27" s="8"/>
    </row>
    <row r="28" spans="1:9" x14ac:dyDescent="0.2">
      <c r="A28" t="s">
        <v>1</v>
      </c>
      <c r="B28" s="13">
        <v>26521356.199999999</v>
      </c>
      <c r="D28" s="13">
        <v>67657406.520000011</v>
      </c>
      <c r="F28" s="13">
        <v>153955039</v>
      </c>
    </row>
    <row r="29" spans="1:9" x14ac:dyDescent="0.2">
      <c r="A29" t="s">
        <v>2</v>
      </c>
      <c r="B29" s="13">
        <v>24017405.140000001</v>
      </c>
      <c r="D29" s="13">
        <v>61159540.769999996</v>
      </c>
      <c r="F29" s="13">
        <v>138624549.91</v>
      </c>
    </row>
    <row r="30" spans="1:9" x14ac:dyDescent="0.2">
      <c r="A30" t="s">
        <v>0</v>
      </c>
      <c r="B30" s="13">
        <v>4.6500000000000004</v>
      </c>
      <c r="D30" s="13">
        <v>4.6500000000000004</v>
      </c>
      <c r="F30" s="13">
        <v>4.6500000000000004</v>
      </c>
    </row>
    <row r="31" spans="1:9" x14ac:dyDescent="0.2">
      <c r="A31" t="s">
        <v>31</v>
      </c>
      <c r="B31" s="13">
        <f>+B28-B29-B30</f>
        <v>2503946.4099999988</v>
      </c>
      <c r="D31" s="13">
        <f>+D28-D29-D30</f>
        <v>6497861.1000000145</v>
      </c>
      <c r="F31" s="13">
        <f>+F28-F29-F30</f>
        <v>15330484.440000003</v>
      </c>
      <c r="I31" s="1"/>
    </row>
    <row r="32" spans="1:9" x14ac:dyDescent="0.2">
      <c r="A32" t="s">
        <v>25</v>
      </c>
      <c r="B32" s="13">
        <v>1377170.5254999995</v>
      </c>
      <c r="D32" s="13">
        <v>3573823.6050000084</v>
      </c>
      <c r="F32" s="13">
        <v>8431766.4420000017</v>
      </c>
    </row>
    <row r="33" spans="1:6" x14ac:dyDescent="0.2">
      <c r="A33" t="s">
        <v>32</v>
      </c>
      <c r="B33" s="13">
        <v>1126775.8844999995</v>
      </c>
      <c r="D33" s="13">
        <v>2924037.4950000066</v>
      </c>
      <c r="F33" s="13">
        <v>6898717.9980000015</v>
      </c>
    </row>
    <row r="34" spans="1:6" x14ac:dyDescent="0.2">
      <c r="A34" t="s">
        <v>5</v>
      </c>
      <c r="B34" s="18">
        <v>3175</v>
      </c>
    </row>
    <row r="37" spans="1:6" x14ac:dyDescent="0.2">
      <c r="A37" s="19" t="s">
        <v>33</v>
      </c>
    </row>
    <row r="38" spans="1:6" x14ac:dyDescent="0.2">
      <c r="A38" s="24" t="s">
        <v>36</v>
      </c>
    </row>
    <row r="39" spans="1:6" x14ac:dyDescent="0.2">
      <c r="A39" s="24" t="s">
        <v>35</v>
      </c>
    </row>
    <row r="40" spans="1:6" x14ac:dyDescent="0.2">
      <c r="A40" s="24" t="s">
        <v>34</v>
      </c>
    </row>
    <row r="41" spans="1:6" x14ac:dyDescent="0.2">
      <c r="A41" s="24" t="s">
        <v>38</v>
      </c>
    </row>
  </sheetData>
  <mergeCells count="2">
    <mergeCell ref="A1:F1"/>
    <mergeCell ref="A2:F2"/>
  </mergeCells>
  <phoneticPr fontId="4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5.42578125" style="1" bestFit="1" customWidth="1"/>
    <col min="9" max="9" width="12.85546875" bestFit="1" customWidth="1"/>
    <col min="11" max="11" width="14" bestFit="1" customWidth="1"/>
  </cols>
  <sheetData>
    <row r="1" spans="1:11" ht="60.75" customHeight="1" x14ac:dyDescent="0.2">
      <c r="A1" s="76"/>
      <c r="B1" s="76"/>
      <c r="C1" s="76"/>
      <c r="D1" s="76"/>
      <c r="E1" s="76"/>
      <c r="F1" s="76"/>
    </row>
    <row r="2" spans="1:11" ht="26.25" customHeight="1" x14ac:dyDescent="0.25">
      <c r="A2" s="77" t="s">
        <v>22</v>
      </c>
      <c r="B2" s="78"/>
      <c r="C2" s="78"/>
      <c r="D2" s="78"/>
      <c r="E2" s="78"/>
      <c r="F2" s="78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17</v>
      </c>
      <c r="E4" s="10"/>
      <c r="F4" s="16" t="s">
        <v>13</v>
      </c>
    </row>
    <row r="5" spans="1:11" x14ac:dyDescent="0.2">
      <c r="A5" s="9"/>
      <c r="B5" s="9" t="s">
        <v>21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24136828.210000001</v>
      </c>
      <c r="D8" s="13">
        <v>91287808.830000013</v>
      </c>
      <c r="E8" s="13"/>
      <c r="F8" s="13">
        <v>177585441.31</v>
      </c>
      <c r="G8" s="22"/>
    </row>
    <row r="9" spans="1:11" x14ac:dyDescent="0.2">
      <c r="A9" t="s">
        <v>2</v>
      </c>
      <c r="B9" s="13">
        <v>21723023.84</v>
      </c>
      <c r="D9" s="13">
        <v>82423756.069999993</v>
      </c>
      <c r="E9" s="13"/>
      <c r="F9" s="13">
        <v>159888765.21000001</v>
      </c>
      <c r="G9" s="22"/>
    </row>
    <row r="10" spans="1:11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11" x14ac:dyDescent="0.2">
      <c r="A11" t="s">
        <v>31</v>
      </c>
      <c r="B11" s="13">
        <f>+B8-B9-B10</f>
        <v>2413804.370000001</v>
      </c>
      <c r="D11" s="13">
        <f>+D8-D9-D10</f>
        <v>8864052.7600000203</v>
      </c>
      <c r="F11" s="13">
        <f>+F8-F9-F10</f>
        <v>17696676.099999994</v>
      </c>
      <c r="G11" s="22"/>
      <c r="I11" s="21"/>
      <c r="K11" s="21"/>
    </row>
    <row r="12" spans="1:11" x14ac:dyDescent="0.2">
      <c r="A12" t="s">
        <v>25</v>
      </c>
      <c r="B12" s="13">
        <v>1327592.4035000007</v>
      </c>
      <c r="D12" s="13">
        <v>4875229.0180000113</v>
      </c>
      <c r="F12" s="13">
        <v>9733171.8549999967</v>
      </c>
      <c r="G12" s="22"/>
    </row>
    <row r="13" spans="1:11" x14ac:dyDescent="0.2">
      <c r="A13" t="s">
        <v>32</v>
      </c>
      <c r="B13" s="13">
        <v>1086211.9665000006</v>
      </c>
      <c r="D13" s="13">
        <v>3988823.7420000094</v>
      </c>
      <c r="F13" s="13">
        <v>7963504.2449999973</v>
      </c>
      <c r="G13" s="22"/>
    </row>
    <row r="14" spans="1:11" x14ac:dyDescent="0.2">
      <c r="A14" t="s">
        <v>5</v>
      </c>
      <c r="B14" s="18">
        <v>1099</v>
      </c>
    </row>
    <row r="17" spans="1:11" x14ac:dyDescent="0.2">
      <c r="A17" s="8" t="s">
        <v>24</v>
      </c>
      <c r="B17" s="8"/>
      <c r="C17" s="8"/>
    </row>
    <row r="18" spans="1:11" x14ac:dyDescent="0.2">
      <c r="A18" t="s">
        <v>1</v>
      </c>
      <c r="B18" s="13">
        <v>44489419.810000002</v>
      </c>
      <c r="C18" s="13"/>
      <c r="D18" s="13">
        <v>44995845.710000001</v>
      </c>
      <c r="E18" s="13"/>
      <c r="F18" s="13">
        <v>44995845.710000001</v>
      </c>
      <c r="G18" s="22"/>
    </row>
    <row r="19" spans="1:11" x14ac:dyDescent="0.2">
      <c r="A19" t="s">
        <v>2</v>
      </c>
      <c r="B19" s="13">
        <v>40547239.510000005</v>
      </c>
      <c r="C19" s="13"/>
      <c r="D19" s="13">
        <v>41006048.050000004</v>
      </c>
      <c r="E19" s="13"/>
      <c r="F19" s="13">
        <v>41006048.050000004</v>
      </c>
      <c r="G19" s="22"/>
    </row>
    <row r="20" spans="1:11" x14ac:dyDescent="0.2">
      <c r="A20" t="s">
        <v>0</v>
      </c>
      <c r="B20" s="13">
        <v>0.5</v>
      </c>
      <c r="C20" s="13"/>
      <c r="D20" s="13">
        <v>5.15</v>
      </c>
      <c r="E20" s="13"/>
      <c r="F20" s="13">
        <v>5.15</v>
      </c>
      <c r="G20" s="22"/>
    </row>
    <row r="21" spans="1:11" x14ac:dyDescent="0.2">
      <c r="A21" t="s">
        <v>31</v>
      </c>
      <c r="B21" s="13">
        <f>+B18-B19-B20</f>
        <v>3942179.799999997</v>
      </c>
      <c r="D21" s="13">
        <f>+D18-D19-D20</f>
        <v>3989792.5099999965</v>
      </c>
      <c r="F21" s="13">
        <f>+F18-F19-F20</f>
        <v>3989792.5099999965</v>
      </c>
      <c r="G21" s="22"/>
      <c r="I21" s="21"/>
      <c r="K21" s="21"/>
    </row>
    <row r="22" spans="1:11" x14ac:dyDescent="0.2">
      <c r="A22" t="s">
        <v>25</v>
      </c>
      <c r="B22" s="13">
        <v>2168198.89</v>
      </c>
      <c r="D22" s="13">
        <v>2194385.8804999981</v>
      </c>
      <c r="F22" s="13">
        <v>2194385.8804999981</v>
      </c>
      <c r="G22" s="22"/>
    </row>
    <row r="23" spans="1:11" x14ac:dyDescent="0.2">
      <c r="A23" t="s">
        <v>32</v>
      </c>
      <c r="B23" s="13">
        <v>1773980.91</v>
      </c>
      <c r="D23" s="13">
        <v>1795406.6294999984</v>
      </c>
      <c r="F23" s="13">
        <v>1795406.6294999984</v>
      </c>
      <c r="G23" s="22"/>
    </row>
    <row r="24" spans="1:11" x14ac:dyDescent="0.2">
      <c r="A24" t="s">
        <v>5</v>
      </c>
      <c r="B24" s="18">
        <v>2076</v>
      </c>
      <c r="C24" s="13"/>
      <c r="D24" s="13"/>
      <c r="E24" s="13"/>
      <c r="F24" s="13"/>
    </row>
    <row r="27" spans="1:11" x14ac:dyDescent="0.2">
      <c r="A27" s="8" t="s">
        <v>6</v>
      </c>
      <c r="B27" s="8"/>
      <c r="C27" s="8"/>
    </row>
    <row r="28" spans="1:11" x14ac:dyDescent="0.2">
      <c r="A28" t="s">
        <v>1</v>
      </c>
      <c r="B28" s="13">
        <v>68626248.020000011</v>
      </c>
      <c r="D28" s="13">
        <v>136283654.54000002</v>
      </c>
      <c r="F28" s="13">
        <v>222581287.02000001</v>
      </c>
      <c r="G28" s="22"/>
    </row>
    <row r="29" spans="1:11" x14ac:dyDescent="0.2">
      <c r="A29" t="s">
        <v>2</v>
      </c>
      <c r="B29" s="13">
        <v>62270263.350000009</v>
      </c>
      <c r="D29" s="13">
        <v>123429804.12</v>
      </c>
      <c r="F29" s="13">
        <v>200894813.26000002</v>
      </c>
      <c r="G29" s="22"/>
    </row>
    <row r="30" spans="1:11" x14ac:dyDescent="0.2">
      <c r="A30" t="s">
        <v>0</v>
      </c>
      <c r="B30" s="13">
        <v>0.5</v>
      </c>
      <c r="D30" s="13">
        <v>5.15</v>
      </c>
      <c r="F30" s="13">
        <v>5.15</v>
      </c>
      <c r="G30" s="22"/>
    </row>
    <row r="31" spans="1:11" x14ac:dyDescent="0.2">
      <c r="A31" t="s">
        <v>31</v>
      </c>
      <c r="B31" s="13">
        <f>+B28-B29-B30</f>
        <v>6355984.1700000018</v>
      </c>
      <c r="D31" s="13">
        <f>+D28-D29-D30</f>
        <v>12853845.270000016</v>
      </c>
      <c r="F31" s="13">
        <f>+F28-F29-F30</f>
        <v>21686468.609999992</v>
      </c>
      <c r="G31" s="22"/>
      <c r="I31" s="21"/>
      <c r="K31" s="21"/>
    </row>
    <row r="32" spans="1:11" x14ac:dyDescent="0.2">
      <c r="A32" t="s">
        <v>25</v>
      </c>
      <c r="B32" s="13">
        <v>3495791.2935000011</v>
      </c>
      <c r="D32" s="13">
        <v>7069614.8985000094</v>
      </c>
      <c r="F32" s="13">
        <v>11927557.735499997</v>
      </c>
      <c r="G32" s="22"/>
    </row>
    <row r="33" spans="1:7" x14ac:dyDescent="0.2">
      <c r="A33" t="s">
        <v>32</v>
      </c>
      <c r="B33" s="13">
        <v>2860192.8765000007</v>
      </c>
      <c r="D33" s="13">
        <v>5784230.3715000078</v>
      </c>
      <c r="F33" s="13">
        <v>9758910.8744999971</v>
      </c>
      <c r="G33" s="22"/>
    </row>
    <row r="34" spans="1:7" x14ac:dyDescent="0.2">
      <c r="A34" t="s">
        <v>5</v>
      </c>
      <c r="B34" s="18">
        <v>3175</v>
      </c>
    </row>
    <row r="37" spans="1:7" x14ac:dyDescent="0.2">
      <c r="A37" s="19" t="s">
        <v>33</v>
      </c>
    </row>
    <row r="38" spans="1:7" x14ac:dyDescent="0.2">
      <c r="A38" s="24" t="s">
        <v>36</v>
      </c>
    </row>
    <row r="39" spans="1:7" x14ac:dyDescent="0.2">
      <c r="A39" s="24" t="s">
        <v>35</v>
      </c>
    </row>
    <row r="40" spans="1:7" x14ac:dyDescent="0.2">
      <c r="A40" s="24" t="s">
        <v>34</v>
      </c>
    </row>
    <row r="41" spans="1:7" x14ac:dyDescent="0.2">
      <c r="A41" s="24" t="s">
        <v>37</v>
      </c>
    </row>
  </sheetData>
  <mergeCells count="2">
    <mergeCell ref="A1:F1"/>
    <mergeCell ref="A2:F2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D8" sqref="D8"/>
    </sheetView>
  </sheetViews>
  <sheetFormatPr defaultRowHeight="12.75" x14ac:dyDescent="0.2"/>
  <cols>
    <col min="1" max="1" width="22.7109375" bestFit="1" customWidth="1"/>
    <col min="2" max="2" width="15.42578125" bestFit="1" customWidth="1"/>
    <col min="3" max="3" width="2" customWidth="1"/>
    <col min="4" max="4" width="15.42578125" bestFit="1" customWidth="1"/>
    <col min="5" max="5" width="2.28515625" customWidth="1"/>
    <col min="6" max="6" width="15.5703125" bestFit="1" customWidth="1"/>
    <col min="7" max="7" width="15.42578125" style="1" bestFit="1" customWidth="1"/>
    <col min="9" max="9" width="14.42578125" bestFit="1" customWidth="1"/>
    <col min="11" max="11" width="14.42578125" bestFit="1" customWidth="1"/>
  </cols>
  <sheetData>
    <row r="1" spans="1:11" ht="60.75" customHeight="1" x14ac:dyDescent="0.2">
      <c r="A1" s="76"/>
      <c r="B1" s="76"/>
      <c r="C1" s="76"/>
      <c r="D1" s="76"/>
      <c r="E1" s="76"/>
      <c r="F1" s="76"/>
    </row>
    <row r="2" spans="1:11" ht="26.25" customHeight="1" x14ac:dyDescent="0.25">
      <c r="A2" s="77" t="s">
        <v>22</v>
      </c>
      <c r="B2" s="78"/>
      <c r="C2" s="78"/>
      <c r="D2" s="78"/>
      <c r="E2" s="78"/>
      <c r="F2" s="78"/>
    </row>
    <row r="3" spans="1:11" ht="26.25" customHeight="1" x14ac:dyDescent="0.25">
      <c r="A3" s="14"/>
      <c r="B3" s="15"/>
      <c r="C3" s="15"/>
      <c r="D3" s="17"/>
      <c r="E3" s="17"/>
      <c r="F3" s="17"/>
    </row>
    <row r="4" spans="1:11" x14ac:dyDescent="0.2">
      <c r="B4" s="10"/>
      <c r="C4" s="10"/>
      <c r="D4" s="16" t="s">
        <v>17</v>
      </c>
      <c r="E4" s="10"/>
      <c r="F4" s="16" t="s">
        <v>13</v>
      </c>
    </row>
    <row r="5" spans="1:11" x14ac:dyDescent="0.2">
      <c r="A5" s="9"/>
      <c r="B5" s="9" t="s">
        <v>23</v>
      </c>
      <c r="C5" s="9"/>
      <c r="D5" s="11" t="s">
        <v>11</v>
      </c>
      <c r="F5" s="11" t="s">
        <v>8</v>
      </c>
      <c r="G5" s="2"/>
    </row>
    <row r="7" spans="1:11" x14ac:dyDescent="0.2">
      <c r="A7" s="8" t="s">
        <v>3</v>
      </c>
      <c r="B7" s="8"/>
      <c r="C7" s="8"/>
    </row>
    <row r="8" spans="1:11" x14ac:dyDescent="0.2">
      <c r="A8" t="s">
        <v>1</v>
      </c>
      <c r="B8" s="13">
        <v>39086389.760000005</v>
      </c>
      <c r="D8" s="13">
        <v>130374198.59000002</v>
      </c>
      <c r="E8" s="13"/>
      <c r="F8" s="13">
        <v>216671831.06999999</v>
      </c>
      <c r="G8" s="22"/>
    </row>
    <row r="9" spans="1:11" x14ac:dyDescent="0.2">
      <c r="A9" t="s">
        <v>2</v>
      </c>
      <c r="B9" s="13">
        <v>35128032.550000004</v>
      </c>
      <c r="D9" s="13">
        <v>117551788.62</v>
      </c>
      <c r="E9" s="13"/>
      <c r="F9" s="13">
        <v>195016797.76000002</v>
      </c>
      <c r="G9" s="22"/>
    </row>
    <row r="10" spans="1:11" x14ac:dyDescent="0.2">
      <c r="A10" t="s">
        <v>0</v>
      </c>
      <c r="B10" s="13">
        <v>0</v>
      </c>
      <c r="D10" s="13">
        <v>0</v>
      </c>
      <c r="F10" s="13">
        <v>0</v>
      </c>
      <c r="G10" s="22"/>
    </row>
    <row r="11" spans="1:11" x14ac:dyDescent="0.2">
      <c r="A11" t="s">
        <v>31</v>
      </c>
      <c r="B11" s="13">
        <f>+B8-B9-B10</f>
        <v>3958357.2100000009</v>
      </c>
      <c r="D11" s="13">
        <f>+D8-D9-D10</f>
        <v>12822409.970000014</v>
      </c>
      <c r="F11" s="13">
        <f>+F8-F9-F10</f>
        <v>21655033.309999973</v>
      </c>
      <c r="G11" s="22"/>
      <c r="I11" s="22"/>
      <c r="K11" s="22"/>
    </row>
    <row r="12" spans="1:11" x14ac:dyDescent="0.2">
      <c r="A12" t="s">
        <v>25</v>
      </c>
      <c r="B12" s="13">
        <v>2177096.4655000009</v>
      </c>
      <c r="D12" s="13">
        <v>7052325.4835000085</v>
      </c>
      <c r="F12" s="13">
        <v>11910268.320499986</v>
      </c>
      <c r="G12" s="22"/>
    </row>
    <row r="13" spans="1:11" x14ac:dyDescent="0.2">
      <c r="A13" t="s">
        <v>32</v>
      </c>
      <c r="B13" s="13">
        <v>1781260.7445000005</v>
      </c>
      <c r="D13" s="13">
        <v>5770084.4865000062</v>
      </c>
      <c r="F13" s="13">
        <v>9744764.989499988</v>
      </c>
      <c r="G13" s="22"/>
    </row>
    <row r="14" spans="1:11" x14ac:dyDescent="0.2">
      <c r="A14" t="s">
        <v>5</v>
      </c>
      <c r="B14" s="18">
        <v>1099</v>
      </c>
    </row>
    <row r="17" spans="1:11" x14ac:dyDescent="0.2">
      <c r="A17" s="8" t="s">
        <v>4</v>
      </c>
      <c r="B17" s="8"/>
      <c r="C17" s="8"/>
    </row>
    <row r="18" spans="1:11" x14ac:dyDescent="0.2">
      <c r="A18" t="s">
        <v>1</v>
      </c>
      <c r="B18" s="13">
        <v>68646926.979999989</v>
      </c>
      <c r="C18" s="13"/>
      <c r="D18" s="13">
        <v>113642772.69</v>
      </c>
      <c r="E18" s="13"/>
      <c r="F18" s="13">
        <v>113642772.69</v>
      </c>
      <c r="G18" s="22"/>
    </row>
    <row r="19" spans="1:11" x14ac:dyDescent="0.2">
      <c r="A19" t="s">
        <v>2</v>
      </c>
      <c r="B19" s="13">
        <v>62723827.039999999</v>
      </c>
      <c r="C19" s="13"/>
      <c r="D19" s="13">
        <v>103729875.09</v>
      </c>
      <c r="E19" s="13"/>
      <c r="F19" s="13">
        <v>103729875.09</v>
      </c>
      <c r="G19" s="22"/>
    </row>
    <row r="20" spans="1:11" x14ac:dyDescent="0.2">
      <c r="A20" t="s">
        <v>0</v>
      </c>
      <c r="B20" s="13">
        <v>0</v>
      </c>
      <c r="C20" s="13"/>
      <c r="D20" s="13">
        <v>5.15</v>
      </c>
      <c r="E20" s="13"/>
      <c r="F20" s="13">
        <v>5.15</v>
      </c>
      <c r="G20" s="22"/>
    </row>
    <row r="21" spans="1:11" x14ac:dyDescent="0.2">
      <c r="A21" t="s">
        <v>31</v>
      </c>
      <c r="B21" s="13">
        <f>+B18-B19-B20</f>
        <v>5923099.9399999902</v>
      </c>
      <c r="D21" s="13">
        <f>+D18-D19-D20</f>
        <v>9912892.4499999937</v>
      </c>
      <c r="F21" s="13">
        <f>+F18-F19-F20</f>
        <v>9912892.4499999937</v>
      </c>
      <c r="G21" s="22"/>
      <c r="I21" s="22"/>
      <c r="K21" s="22"/>
    </row>
    <row r="22" spans="1:11" x14ac:dyDescent="0.2">
      <c r="A22" t="s">
        <v>25</v>
      </c>
      <c r="B22" s="13">
        <v>3257704.9669999951</v>
      </c>
      <c r="D22" s="13">
        <v>5452090.8474999974</v>
      </c>
      <c r="F22" s="13">
        <v>5452090.8474999974</v>
      </c>
      <c r="G22" s="22"/>
    </row>
    <row r="23" spans="1:11" x14ac:dyDescent="0.2">
      <c r="A23" t="s">
        <v>32</v>
      </c>
      <c r="B23" s="13">
        <v>2665394.9729999956</v>
      </c>
      <c r="D23" s="13">
        <v>4460801.6024999972</v>
      </c>
      <c r="F23" s="13">
        <v>4460801.6024999972</v>
      </c>
      <c r="G23" s="22"/>
    </row>
    <row r="24" spans="1:11" x14ac:dyDescent="0.2">
      <c r="A24" t="s">
        <v>5</v>
      </c>
      <c r="B24" s="18">
        <v>2076</v>
      </c>
      <c r="C24" s="13"/>
      <c r="D24" s="13"/>
      <c r="E24" s="13"/>
      <c r="F24" s="13"/>
    </row>
    <row r="27" spans="1:11" x14ac:dyDescent="0.2">
      <c r="A27" s="8" t="s">
        <v>6</v>
      </c>
      <c r="B27" s="8"/>
      <c r="C27" s="8"/>
    </row>
    <row r="28" spans="1:11" x14ac:dyDescent="0.2">
      <c r="A28" t="s">
        <v>1</v>
      </c>
      <c r="B28" s="13">
        <v>107733316.73999999</v>
      </c>
      <c r="D28" s="13">
        <v>244016971.28000003</v>
      </c>
      <c r="F28" s="13">
        <v>330314603.75999999</v>
      </c>
      <c r="G28" s="22"/>
    </row>
    <row r="29" spans="1:11" x14ac:dyDescent="0.2">
      <c r="A29" t="s">
        <v>2</v>
      </c>
      <c r="B29" s="13">
        <v>97851859.590000004</v>
      </c>
      <c r="D29" s="13">
        <v>221281663.71000001</v>
      </c>
      <c r="F29" s="13">
        <v>298746672.85000002</v>
      </c>
      <c r="G29" s="22"/>
    </row>
    <row r="30" spans="1:11" x14ac:dyDescent="0.2">
      <c r="A30" t="s">
        <v>0</v>
      </c>
      <c r="B30" s="13">
        <v>0</v>
      </c>
      <c r="D30" s="13">
        <v>5.15</v>
      </c>
      <c r="F30" s="13">
        <v>5.15</v>
      </c>
      <c r="G30" s="22"/>
    </row>
    <row r="31" spans="1:11" x14ac:dyDescent="0.2">
      <c r="A31" t="s">
        <v>31</v>
      </c>
      <c r="B31" s="13">
        <f>+B28-B29-B30</f>
        <v>9881457.1499999911</v>
      </c>
      <c r="D31" s="13">
        <f>+D28-D29-D30</f>
        <v>22735302.420000024</v>
      </c>
      <c r="F31" s="13">
        <f>+F28-F29-F30</f>
        <v>31567925.759999968</v>
      </c>
      <c r="G31" s="22"/>
      <c r="I31" s="22"/>
      <c r="K31" s="22"/>
    </row>
    <row r="32" spans="1:11" x14ac:dyDescent="0.2">
      <c r="A32" t="s">
        <v>25</v>
      </c>
      <c r="B32" s="13">
        <v>5434801.4324999955</v>
      </c>
      <c r="D32" s="13">
        <v>12504416.331000015</v>
      </c>
      <c r="F32" s="13">
        <v>17362359.167999983</v>
      </c>
      <c r="G32" s="22"/>
    </row>
    <row r="33" spans="1:7" x14ac:dyDescent="0.2">
      <c r="A33" t="s">
        <v>32</v>
      </c>
      <c r="B33" s="13">
        <v>4446655.7174999965</v>
      </c>
      <c r="D33" s="13">
        <v>10230886.089000011</v>
      </c>
      <c r="F33" s="13">
        <v>14205566.591999985</v>
      </c>
      <c r="G33" s="22"/>
    </row>
    <row r="34" spans="1:7" x14ac:dyDescent="0.2">
      <c r="A34" t="s">
        <v>5</v>
      </c>
      <c r="B34" s="18">
        <v>3175</v>
      </c>
    </row>
    <row r="37" spans="1:7" x14ac:dyDescent="0.2">
      <c r="A37" s="19" t="s">
        <v>33</v>
      </c>
    </row>
    <row r="38" spans="1:7" x14ac:dyDescent="0.2">
      <c r="A38" s="24" t="s">
        <v>36</v>
      </c>
    </row>
    <row r="39" spans="1:7" x14ac:dyDescent="0.2">
      <c r="A39" s="24" t="s">
        <v>35</v>
      </c>
    </row>
    <row r="40" spans="1:7" x14ac:dyDescent="0.2">
      <c r="A40" s="24" t="s">
        <v>34</v>
      </c>
    </row>
  </sheetData>
  <mergeCells count="2">
    <mergeCell ref="A1:F1"/>
    <mergeCell ref="A2:F2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9</vt:i4>
      </vt:variant>
    </vt:vector>
  </HeadingPairs>
  <TitlesOfParts>
    <vt:vector size="52" baseType="lpstr">
      <vt:lpstr>Weekly</vt:lpstr>
      <vt:lpstr>Nov 6</vt:lpstr>
      <vt:lpstr>Nov 13</vt:lpstr>
      <vt:lpstr>Nov 20</vt:lpstr>
      <vt:lpstr>Nov 27</vt:lpstr>
      <vt:lpstr>Dec 4</vt:lpstr>
      <vt:lpstr>Dec 11</vt:lpstr>
      <vt:lpstr>Dec 18</vt:lpstr>
      <vt:lpstr>Dec 25</vt:lpstr>
      <vt:lpstr>Jan 1</vt:lpstr>
      <vt:lpstr>Jan 8</vt:lpstr>
      <vt:lpstr>Jan 15</vt:lpstr>
      <vt:lpstr>Jan22</vt:lpstr>
      <vt:lpstr>Jan 29</vt:lpstr>
      <vt:lpstr>Feb 5</vt:lpstr>
      <vt:lpstr>Feb 12</vt:lpstr>
      <vt:lpstr>Feb 19</vt:lpstr>
      <vt:lpstr>Feb 26</vt:lpstr>
      <vt:lpstr>Mar 5</vt:lpstr>
      <vt:lpstr>Mar 12</vt:lpstr>
      <vt:lpstr>Mar 19</vt:lpstr>
      <vt:lpstr>Mar 26</vt:lpstr>
      <vt:lpstr>April 2</vt:lpstr>
      <vt:lpstr>April 9</vt:lpstr>
      <vt:lpstr>April 16</vt:lpstr>
      <vt:lpstr>April 23</vt:lpstr>
      <vt:lpstr>April 30</vt:lpstr>
      <vt:lpstr>May 7</vt:lpstr>
      <vt:lpstr>May 14</vt:lpstr>
      <vt:lpstr>June 25</vt:lpstr>
      <vt:lpstr>June 18</vt:lpstr>
      <vt:lpstr>July 2</vt:lpstr>
      <vt:lpstr>July 23</vt:lpstr>
      <vt:lpstr>FY 2015-16</vt:lpstr>
      <vt:lpstr>July 30</vt:lpstr>
      <vt:lpstr>July 16</vt:lpstr>
      <vt:lpstr>July 9</vt:lpstr>
      <vt:lpstr>June 11</vt:lpstr>
      <vt:lpstr>June 4</vt:lpstr>
      <vt:lpstr>May 28</vt:lpstr>
      <vt:lpstr>May 21</vt:lpstr>
      <vt:lpstr>Annual</vt:lpstr>
      <vt:lpstr>Footnotes</vt:lpstr>
      <vt:lpstr>'Feb 19'!Print_Area</vt:lpstr>
      <vt:lpstr>Footnotes!Print_Area</vt:lpstr>
      <vt:lpstr>'FY 2015-16'!Print_Area</vt:lpstr>
      <vt:lpstr>'June 4'!Print_Area</vt:lpstr>
      <vt:lpstr>'Mar 12'!Print_Area</vt:lpstr>
      <vt:lpstr>'Feb 19'!Print_Titles</vt:lpstr>
      <vt:lpstr>'FY 2015-16'!Print_Titles</vt:lpstr>
      <vt:lpstr>'June 4'!Print_Titles</vt:lpstr>
      <vt:lpstr>'Mar 12'!Print_Titles</vt:lpstr>
    </vt:vector>
  </TitlesOfParts>
  <Company>Commonwealth of Pennsylvania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Gaming Control Board</dc:creator>
  <cp:lastModifiedBy>pgcb</cp:lastModifiedBy>
  <cp:lastPrinted>2016-07-18T11:57:05Z</cp:lastPrinted>
  <dcterms:created xsi:type="dcterms:W3CDTF">2006-12-27T14:53:17Z</dcterms:created>
  <dcterms:modified xsi:type="dcterms:W3CDTF">2016-08-01T13:07:46Z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BExAnalyzer_OldName">
    <vt:lpwstr>FY 2015-16 Table Games Monthly Revenue Report - For Web.xlsx</vt:lpwstr>
  </property>
</Properties>
</file>