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1515" yWindow="5625" windowWidth="15480" windowHeight="6165" firstSheet="33" activeTab="33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014-1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</sheets>
  <definedNames>
    <definedName name="_xlnm.Print_Area" localSheetId="16">'Feb 19'!$A$7:$F$61</definedName>
    <definedName name="_xlnm.Print_Area" localSheetId="33">'FY 2014-15'!$A$1:$P$290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2014-15'!$A:$A,'FY 2014-15'!$1:$4</definedName>
    <definedName name="_xlnm.Print_Titles" localSheetId="39">'June 4'!$1:$5</definedName>
    <definedName name="_xlnm.Print_Titles" localSheetId="19">'Mar 12'!$1:$6</definedName>
  </definedNames>
  <calcPr calcId="145621" calcMode="manual"/>
</workbook>
</file>

<file path=xl/calcChain.xml><?xml version="1.0" encoding="utf-8"?>
<calcChain xmlns="http://schemas.openxmlformats.org/spreadsheetml/2006/main">
  <c r="O274" i="45" l="1"/>
  <c r="O273" i="45"/>
  <c r="O272" i="45"/>
  <c r="O278" i="45"/>
  <c r="O277" i="45"/>
  <c r="O276" i="45"/>
  <c r="O282" i="45"/>
  <c r="O281" i="45"/>
  <c r="O280" i="45"/>
  <c r="O286" i="45"/>
  <c r="O285" i="45"/>
  <c r="O284" i="45"/>
  <c r="O289" i="45"/>
  <c r="O288" i="45"/>
  <c r="B290" i="45" l="1"/>
  <c r="B289" i="45"/>
  <c r="B288" i="45"/>
  <c r="B287" i="45"/>
  <c r="B286" i="45"/>
  <c r="B285" i="45"/>
  <c r="B284" i="45"/>
  <c r="B283" i="45"/>
  <c r="B282" i="45"/>
  <c r="B281" i="45"/>
  <c r="B280" i="45"/>
  <c r="B279" i="45"/>
  <c r="B278" i="45"/>
  <c r="B277" i="45"/>
  <c r="B276" i="45"/>
  <c r="B275" i="45"/>
  <c r="B274" i="45"/>
  <c r="B273" i="45"/>
  <c r="B272" i="45"/>
  <c r="B271" i="45"/>
  <c r="O290" i="45"/>
  <c r="O268" i="45"/>
  <c r="P268" i="45" s="1"/>
  <c r="O267" i="45"/>
  <c r="P267" i="45" s="1"/>
  <c r="O266" i="45"/>
  <c r="P266" i="45" s="1"/>
  <c r="O264" i="45"/>
  <c r="P264" i="45" s="1"/>
  <c r="O263" i="45"/>
  <c r="P263" i="45" s="1"/>
  <c r="O262" i="45"/>
  <c r="P262" i="45" s="1"/>
  <c r="O260" i="45"/>
  <c r="P260" i="45" s="1"/>
  <c r="O259" i="45"/>
  <c r="P259" i="45" s="1"/>
  <c r="O258" i="45"/>
  <c r="P258" i="45" s="1"/>
  <c r="O256" i="45"/>
  <c r="P256" i="45" s="1"/>
  <c r="O255" i="45"/>
  <c r="P255" i="45" s="1"/>
  <c r="O254" i="45"/>
  <c r="P254" i="45" s="1"/>
  <c r="O252" i="45"/>
  <c r="P252" i="45" s="1"/>
  <c r="O251" i="45"/>
  <c r="P251" i="45" s="1"/>
  <c r="O250" i="45"/>
  <c r="P250" i="45" s="1"/>
  <c r="O246" i="45"/>
  <c r="P246" i="45" s="1"/>
  <c r="O245" i="45"/>
  <c r="P245" i="45" s="1"/>
  <c r="O244" i="45"/>
  <c r="P244" i="45" s="1"/>
  <c r="O242" i="45"/>
  <c r="P242" i="45" s="1"/>
  <c r="O241" i="45"/>
  <c r="P241" i="45" s="1"/>
  <c r="O240" i="45"/>
  <c r="P240" i="45" s="1"/>
  <c r="O238" i="45"/>
  <c r="P238" i="45" s="1"/>
  <c r="O237" i="45"/>
  <c r="P237" i="45" s="1"/>
  <c r="O236" i="45"/>
  <c r="P236" i="45" s="1"/>
  <c r="O234" i="45"/>
  <c r="P234" i="45" s="1"/>
  <c r="O233" i="45"/>
  <c r="P233" i="45" s="1"/>
  <c r="O232" i="45"/>
  <c r="P232" i="45" s="1"/>
  <c r="O230" i="45"/>
  <c r="P230" i="45" s="1"/>
  <c r="O229" i="45"/>
  <c r="P229" i="45" s="1"/>
  <c r="O228" i="45"/>
  <c r="P228" i="45" s="1"/>
  <c r="O224" i="45"/>
  <c r="P224" i="45" s="1"/>
  <c r="O223" i="45"/>
  <c r="P223" i="45" s="1"/>
  <c r="O222" i="45"/>
  <c r="P222" i="45" s="1"/>
  <c r="O220" i="45"/>
  <c r="P220" i="45" s="1"/>
  <c r="O219" i="45"/>
  <c r="P219" i="45" s="1"/>
  <c r="O218" i="45"/>
  <c r="P218" i="45" s="1"/>
  <c r="O216" i="45"/>
  <c r="P216" i="45" s="1"/>
  <c r="O215" i="45"/>
  <c r="P215" i="45" s="1"/>
  <c r="O214" i="45"/>
  <c r="P214" i="45" s="1"/>
  <c r="O212" i="45"/>
  <c r="P212" i="45" s="1"/>
  <c r="O211" i="45"/>
  <c r="P211" i="45" s="1"/>
  <c r="O210" i="45"/>
  <c r="P210" i="45" s="1"/>
  <c r="O208" i="45"/>
  <c r="P208" i="45" s="1"/>
  <c r="O207" i="45"/>
  <c r="P207" i="45" s="1"/>
  <c r="O206" i="45"/>
  <c r="P206" i="45" s="1"/>
  <c r="O202" i="45"/>
  <c r="P202" i="45" s="1"/>
  <c r="O201" i="45"/>
  <c r="P201" i="45" s="1"/>
  <c r="O200" i="45"/>
  <c r="P200" i="45" s="1"/>
  <c r="O198" i="45"/>
  <c r="P198" i="45" s="1"/>
  <c r="O197" i="45"/>
  <c r="P197" i="45" s="1"/>
  <c r="O196" i="45"/>
  <c r="P196" i="45" s="1"/>
  <c r="O194" i="45"/>
  <c r="P194" i="45" s="1"/>
  <c r="O193" i="45"/>
  <c r="P193" i="45" s="1"/>
  <c r="O192" i="45"/>
  <c r="P192" i="45" s="1"/>
  <c r="O190" i="45"/>
  <c r="P190" i="45" s="1"/>
  <c r="O189" i="45"/>
  <c r="P189" i="45" s="1"/>
  <c r="O188" i="45"/>
  <c r="P188" i="45" s="1"/>
  <c r="O186" i="45"/>
  <c r="P186" i="45" s="1"/>
  <c r="O185" i="45"/>
  <c r="P185" i="45" s="1"/>
  <c r="O184" i="45"/>
  <c r="P184" i="45" s="1"/>
  <c r="O180" i="45"/>
  <c r="P180" i="45" s="1"/>
  <c r="O179" i="45"/>
  <c r="P179" i="45" s="1"/>
  <c r="O178" i="45"/>
  <c r="P178" i="45" s="1"/>
  <c r="O176" i="45"/>
  <c r="P176" i="45" s="1"/>
  <c r="O175" i="45"/>
  <c r="P175" i="45" s="1"/>
  <c r="O174" i="45"/>
  <c r="P174" i="45" s="1"/>
  <c r="O172" i="45"/>
  <c r="P172" i="45" s="1"/>
  <c r="O171" i="45"/>
  <c r="P171" i="45" s="1"/>
  <c r="O170" i="45"/>
  <c r="P170" i="45" s="1"/>
  <c r="O168" i="45"/>
  <c r="P168" i="45" s="1"/>
  <c r="O167" i="45"/>
  <c r="P167" i="45" s="1"/>
  <c r="O166" i="45"/>
  <c r="P166" i="45" s="1"/>
  <c r="O164" i="45"/>
  <c r="P164" i="45" s="1"/>
  <c r="O163" i="45"/>
  <c r="P163" i="45" s="1"/>
  <c r="O162" i="45"/>
  <c r="P162" i="45" s="1"/>
  <c r="O158" i="45"/>
  <c r="P158" i="45" s="1"/>
  <c r="O157" i="45"/>
  <c r="P157" i="45" s="1"/>
  <c r="O156" i="45"/>
  <c r="P156" i="45" s="1"/>
  <c r="O154" i="45"/>
  <c r="P154" i="45" s="1"/>
  <c r="O153" i="45"/>
  <c r="P153" i="45" s="1"/>
  <c r="O152" i="45"/>
  <c r="P152" i="45" s="1"/>
  <c r="O150" i="45"/>
  <c r="P150" i="45" s="1"/>
  <c r="O149" i="45"/>
  <c r="P149" i="45" s="1"/>
  <c r="O148" i="45"/>
  <c r="P148" i="45" s="1"/>
  <c r="O146" i="45"/>
  <c r="P146" i="45" s="1"/>
  <c r="O145" i="45"/>
  <c r="P145" i="45" s="1"/>
  <c r="O144" i="45"/>
  <c r="P144" i="45" s="1"/>
  <c r="O142" i="45"/>
  <c r="P142" i="45" s="1"/>
  <c r="O141" i="45"/>
  <c r="P141" i="45" s="1"/>
  <c r="O140" i="45"/>
  <c r="P140" i="45" s="1"/>
  <c r="O136" i="45"/>
  <c r="P136" i="45" s="1"/>
  <c r="O135" i="45"/>
  <c r="P135" i="45" s="1"/>
  <c r="O134" i="45"/>
  <c r="P134" i="45" s="1"/>
  <c r="O132" i="45"/>
  <c r="P132" i="45" s="1"/>
  <c r="O131" i="45"/>
  <c r="P131" i="45" s="1"/>
  <c r="O130" i="45"/>
  <c r="P130" i="45" s="1"/>
  <c r="O128" i="45"/>
  <c r="P128" i="45" s="1"/>
  <c r="O127" i="45"/>
  <c r="P127" i="45" s="1"/>
  <c r="O126" i="45"/>
  <c r="P126" i="45" s="1"/>
  <c r="O124" i="45"/>
  <c r="P124" i="45" s="1"/>
  <c r="O123" i="45"/>
  <c r="P123" i="45" s="1"/>
  <c r="O122" i="45"/>
  <c r="P122" i="45" s="1"/>
  <c r="O120" i="45"/>
  <c r="P120" i="45" s="1"/>
  <c r="O119" i="45"/>
  <c r="P119" i="45" s="1"/>
  <c r="O118" i="45"/>
  <c r="P118" i="45" s="1"/>
  <c r="O114" i="45"/>
  <c r="P114" i="45" s="1"/>
  <c r="O113" i="45"/>
  <c r="P113" i="45" s="1"/>
  <c r="O112" i="45"/>
  <c r="P112" i="45" s="1"/>
  <c r="O110" i="45"/>
  <c r="P110" i="45" s="1"/>
  <c r="O109" i="45"/>
  <c r="P109" i="45" s="1"/>
  <c r="O108" i="45"/>
  <c r="P108" i="45" s="1"/>
  <c r="O106" i="45"/>
  <c r="P106" i="45" s="1"/>
  <c r="O105" i="45"/>
  <c r="P105" i="45" s="1"/>
  <c r="O104" i="45"/>
  <c r="P104" i="45" s="1"/>
  <c r="O102" i="45"/>
  <c r="P102" i="45" s="1"/>
  <c r="O101" i="45"/>
  <c r="P101" i="45" s="1"/>
  <c r="O100" i="45"/>
  <c r="P100" i="45" s="1"/>
  <c r="O98" i="45"/>
  <c r="P98" i="45" s="1"/>
  <c r="O97" i="45"/>
  <c r="P97" i="45" s="1"/>
  <c r="O96" i="45"/>
  <c r="P96" i="45" s="1"/>
  <c r="O92" i="45"/>
  <c r="P92" i="45" s="1"/>
  <c r="O91" i="45"/>
  <c r="P91" i="45" s="1"/>
  <c r="O90" i="45"/>
  <c r="P90" i="45" s="1"/>
  <c r="O88" i="45"/>
  <c r="P88" i="45" s="1"/>
  <c r="O87" i="45"/>
  <c r="P87" i="45" s="1"/>
  <c r="O86" i="45"/>
  <c r="P86" i="45" s="1"/>
  <c r="O84" i="45"/>
  <c r="P84" i="45" s="1"/>
  <c r="O83" i="45"/>
  <c r="P83" i="45" s="1"/>
  <c r="O82" i="45"/>
  <c r="P82" i="45" s="1"/>
  <c r="O80" i="45"/>
  <c r="P80" i="45" s="1"/>
  <c r="O79" i="45"/>
  <c r="P79" i="45" s="1"/>
  <c r="O78" i="45"/>
  <c r="P78" i="45" s="1"/>
  <c r="O76" i="45"/>
  <c r="P76" i="45" s="1"/>
  <c r="O75" i="45"/>
  <c r="P75" i="45" s="1"/>
  <c r="O74" i="45"/>
  <c r="P74" i="45" s="1"/>
  <c r="O70" i="45"/>
  <c r="P70" i="45" s="1"/>
  <c r="O69" i="45"/>
  <c r="P69" i="45" s="1"/>
  <c r="O68" i="45"/>
  <c r="P68" i="45" s="1"/>
  <c r="O66" i="45"/>
  <c r="P66" i="45" s="1"/>
  <c r="O65" i="45"/>
  <c r="P65" i="45" s="1"/>
  <c r="O64" i="45"/>
  <c r="P64" i="45" s="1"/>
  <c r="O62" i="45"/>
  <c r="P62" i="45" s="1"/>
  <c r="O61" i="45"/>
  <c r="P61" i="45" s="1"/>
  <c r="O60" i="45"/>
  <c r="P60" i="45" s="1"/>
  <c r="O58" i="45"/>
  <c r="P58" i="45" s="1"/>
  <c r="O57" i="45"/>
  <c r="P57" i="45" s="1"/>
  <c r="O56" i="45"/>
  <c r="P56" i="45" s="1"/>
  <c r="O54" i="45"/>
  <c r="P54" i="45" s="1"/>
  <c r="O53" i="45"/>
  <c r="P53" i="45" s="1"/>
  <c r="O52" i="45"/>
  <c r="P52" i="45" s="1"/>
  <c r="O48" i="45"/>
  <c r="P48" i="45" s="1"/>
  <c r="O47" i="45"/>
  <c r="P47" i="45" s="1"/>
  <c r="O46" i="45"/>
  <c r="P46" i="45" s="1"/>
  <c r="O44" i="45"/>
  <c r="P44" i="45" s="1"/>
  <c r="O43" i="45"/>
  <c r="P43" i="45" s="1"/>
  <c r="O42" i="45"/>
  <c r="P42" i="45" s="1"/>
  <c r="O40" i="45"/>
  <c r="P40" i="45" s="1"/>
  <c r="O39" i="45"/>
  <c r="P39" i="45" s="1"/>
  <c r="O38" i="45"/>
  <c r="P38" i="45" s="1"/>
  <c r="O36" i="45"/>
  <c r="P36" i="45" s="1"/>
  <c r="O35" i="45"/>
  <c r="P35" i="45" s="1"/>
  <c r="O34" i="45"/>
  <c r="P34" i="45" s="1"/>
  <c r="O32" i="45"/>
  <c r="P32" i="45" s="1"/>
  <c r="O31" i="45"/>
  <c r="P31" i="45" s="1"/>
  <c r="O30" i="45"/>
  <c r="P30" i="45" s="1"/>
  <c r="O26" i="45"/>
  <c r="P26" i="45" s="1"/>
  <c r="O25" i="45"/>
  <c r="P25" i="45" s="1"/>
  <c r="O24" i="45"/>
  <c r="P24" i="45" s="1"/>
  <c r="O22" i="45"/>
  <c r="P22" i="45" s="1"/>
  <c r="O21" i="45"/>
  <c r="P21" i="45" s="1"/>
  <c r="O20" i="45"/>
  <c r="P20" i="45" s="1"/>
  <c r="O18" i="45"/>
  <c r="P18" i="45" s="1"/>
  <c r="O17" i="45"/>
  <c r="P17" i="45" s="1"/>
  <c r="O16" i="45"/>
  <c r="P16" i="45" s="1"/>
  <c r="O14" i="45"/>
  <c r="P14" i="45" s="1"/>
  <c r="O13" i="45"/>
  <c r="P13" i="45" s="1"/>
  <c r="O12" i="45"/>
  <c r="P12" i="45" s="1"/>
  <c r="O10" i="45"/>
  <c r="P10" i="45" s="1"/>
  <c r="O9" i="45"/>
  <c r="P9" i="45" s="1"/>
  <c r="O8" i="45"/>
  <c r="P8" i="45" s="1"/>
  <c r="P272" i="45" l="1"/>
  <c r="P277" i="45"/>
  <c r="P282" i="45"/>
  <c r="P288" i="45"/>
  <c r="P278" i="45"/>
  <c r="P284" i="45"/>
  <c r="P274" i="45"/>
  <c r="P289" i="45"/>
  <c r="P286" i="45"/>
  <c r="P280" i="45"/>
  <c r="P285" i="45"/>
  <c r="P290" i="45"/>
  <c r="P276" i="45"/>
  <c r="P281" i="45"/>
  <c r="P273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7" i="42" s="1"/>
  <c r="B46" i="42"/>
  <c r="B48" i="42" s="1"/>
  <c r="B23" i="42"/>
  <c r="B24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4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3" i="33" s="1"/>
  <c r="B59" i="32"/>
  <c r="B59" i="31"/>
  <c r="B59" i="30"/>
  <c r="B58" i="28"/>
  <c r="F55" i="28"/>
  <c r="F57" i="28" s="1"/>
  <c r="D55" i="28"/>
  <c r="D57" i="28" s="1"/>
  <c r="B44" i="28"/>
  <c r="B32" i="28"/>
  <c r="B34" i="28" s="1"/>
  <c r="B22" i="28"/>
  <c r="B12" i="28"/>
  <c r="B14" i="28" s="1"/>
  <c r="B55" i="28"/>
  <c r="B57" i="28" s="1"/>
  <c r="F56" i="28"/>
  <c r="B56" i="28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B46" i="28"/>
  <c r="F45" i="28"/>
  <c r="D45" i="28"/>
  <c r="B45" i="28"/>
  <c r="F34" i="28"/>
  <c r="D34" i="28"/>
  <c r="F33" i="28"/>
  <c r="D33" i="28"/>
  <c r="B33" i="28"/>
  <c r="F24" i="28"/>
  <c r="D24" i="28"/>
  <c r="B24" i="28"/>
  <c r="F23" i="28"/>
  <c r="D23" i="28"/>
  <c r="B23" i="28"/>
  <c r="F14" i="28"/>
  <c r="D14" i="28"/>
  <c r="F13" i="28"/>
  <c r="D13" i="28"/>
  <c r="B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22" i="26"/>
  <c r="B23" i="26" s="1"/>
  <c r="B12" i="26"/>
  <c r="B55" i="26"/>
  <c r="B57" i="26" s="1"/>
  <c r="B54" i="26"/>
  <c r="B42" i="26"/>
  <c r="B30" i="26"/>
  <c r="B20" i="26"/>
  <c r="B9" i="26"/>
  <c r="B52" i="26"/>
  <c r="B43" i="26"/>
  <c r="B53" i="26" s="1"/>
  <c r="B31" i="26"/>
  <c r="B21" i="26"/>
  <c r="B41" i="26"/>
  <c r="B29" i="26"/>
  <c r="B19" i="26"/>
  <c r="B8" i="26"/>
  <c r="B51" i="26"/>
  <c r="B46" i="26"/>
  <c r="B34" i="26"/>
  <c r="B33" i="26"/>
  <c r="B24" i="26"/>
  <c r="B14" i="26"/>
  <c r="B13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13" i="35" l="1"/>
  <c r="B23" i="35"/>
  <c r="B34" i="35"/>
  <c r="B46" i="38"/>
  <c r="B46" i="33"/>
  <c r="B47" i="42"/>
  <c r="D56" i="26"/>
  <c r="F56" i="26"/>
  <c r="B56" i="35"/>
  <c r="B67" i="35"/>
  <c r="B23" i="38"/>
  <c r="B67" i="38"/>
  <c r="B56" i="26"/>
  <c r="D56" i="28"/>
  <c r="B23" i="33"/>
  <c r="B56" i="33"/>
  <c r="B58" i="33" s="1"/>
  <c r="B46" i="35"/>
  <c r="B13" i="38"/>
  <c r="B34" i="38"/>
  <c r="B56" i="38"/>
  <c r="B35" i="42"/>
  <c r="B68" i="42"/>
  <c r="B57" i="33"/>
  <c r="B14" i="33"/>
  <c r="B35" i="33"/>
  <c r="B14" i="42"/>
  <c r="B25" i="42"/>
  <c r="B58" i="42"/>
</calcChain>
</file>

<file path=xl/sharedStrings.xml><?xml version="1.0" encoding="utf-8"?>
<sst xmlns="http://schemas.openxmlformats.org/spreadsheetml/2006/main" count="2144" uniqueCount="129">
  <si>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</si>
  <si>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</si>
  <si>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</si>
  <si>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</si>
  <si>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</si>
  <si>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</si>
  <si>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</si>
  <si>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</si>
  <si>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</si>
  <si>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</si>
  <si>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</si>
  <si>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</si>
  <si>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</si>
  <si>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</si>
  <si>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</si>
  <si>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</si>
  <si>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</si>
  <si>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</si>
  <si>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</si>
  <si>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</si>
  <si>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</si>
  <si>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</si>
  <si>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</si>
  <si>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</si>
  <si>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</si>
  <si>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</si>
  <si>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</si>
  <si>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</si>
  <si>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</si>
  <si>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</si>
  <si>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</si>
  <si>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</si>
  <si>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</si>
  <si>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</si>
  <si>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</si>
  <si>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</si>
  <si>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</si>
  <si>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</si>
  <si>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</si>
  <si>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</si>
  <si>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</si>
  <si>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</si>
  <si>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</si>
  <si>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</si>
  <si>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</si>
  <si>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</si>
  <si>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</si>
  <si>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</si>
  <si>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</si>
  <si>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</si>
  <si>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</si>
  <si>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</si>
  <si>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</si>
  <si>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</si>
  <si>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</si>
  <si>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</si>
  <si>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</si>
  <si>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</si>
  <si>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</si>
  <si>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</si>
  <si>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</si>
  <si>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</si>
  <si>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</si>
  <si>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</si>
  <si>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</si>
  <si>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</si>
  <si>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</si>
  <si>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</si>
  <si>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</si>
  <si>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</si>
  <si>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</si>
  <si>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</si>
  <si>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</si>
  <si>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</si>
  <si>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</si>
  <si>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</si>
  <si>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</si>
  <si>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</si>
  <si>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</si>
  <si>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</si>
  <si>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</si>
  <si>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</si>
  <si>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</si>
  <si>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</si>
  <si>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</si>
  <si>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</si>
  <si>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</si>
  <si>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Total Table Games</t>
  </si>
  <si>
    <t>Local Share Assessment</t>
  </si>
  <si>
    <t>MOHEGAN SUN</t>
  </si>
  <si>
    <t>PARX</t>
  </si>
  <si>
    <t>PRESQUE ISLE</t>
  </si>
  <si>
    <t>THE MEADOWS</t>
  </si>
  <si>
    <t>MOUNT AIRY</t>
  </si>
  <si>
    <t>SANDS BETHLEHEM</t>
  </si>
  <si>
    <t>THE RIVERS</t>
  </si>
  <si>
    <t>TOTAL</t>
  </si>
  <si>
    <t>Gross Revenue</t>
  </si>
  <si>
    <t>PENN NATIONAL</t>
  </si>
  <si>
    <t>SUGARHOUSE</t>
  </si>
  <si>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</si>
  <si>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</si>
  <si>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State Tax Due </t>
    </r>
    <r>
      <rPr>
        <vertAlign val="superscript"/>
        <sz val="12"/>
        <rFont val="Calibri"/>
        <family val="2"/>
      </rPr>
      <t>2</t>
    </r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</si>
  <si>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</si>
  <si>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</si>
  <si>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</si>
  <si>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r>
      <t xml:space="preserve">Fully Automated Electronic Tables </t>
    </r>
    <r>
      <rPr>
        <b/>
        <vertAlign val="superscript"/>
        <sz val="12"/>
        <rFont val="Calibri"/>
        <family val="2"/>
      </rPr>
      <t>6</t>
    </r>
  </si>
  <si>
    <r>
      <t>1</t>
    </r>
    <r>
      <rPr>
        <i/>
        <sz val="12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</si>
  <si>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2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</si>
  <si>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2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</si>
  <si>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2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</si>
  <si>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 xml:space="preserve">6 </t>
    </r>
    <r>
      <rPr>
        <i/>
        <sz val="12"/>
        <rFont val="Calibri"/>
        <family val="2"/>
      </rPr>
      <t xml:space="preserve">Fully automated electronic gaming tables are electronic gaming tables that are determined to be playable or operable as a table game without the assistance or participation of a person acting on behalf of a casino.  </t>
    </r>
  </si>
  <si>
    <t>VALLEYFORGE</t>
  </si>
  <si>
    <t>HARRAH'S PHILADELPHIA</t>
  </si>
  <si>
    <r>
      <t xml:space="preserve">2 </t>
    </r>
    <r>
      <rPr>
        <i/>
        <sz val="12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will decline 2% on the second anniversary of the introduction of table games at that particular facility.</t>
    </r>
  </si>
  <si>
    <t>NEMACOLIN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</si>
  <si>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</si>
  <si>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</si>
  <si>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</si>
  <si>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</si>
  <si>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</si>
  <si>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</si>
  <si>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</si>
  <si>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</si>
  <si>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</si>
  <si>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</si>
  <si>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</si>
  <si>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</si>
  <si>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FY 2014/2015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</si>
</sst>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  <numFmt numFmtId="167" formatCode="&quot;$&quot;#,##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b/>
      <u/>
      <sz val="12"/>
      <color indexed="8"/>
      <name val="Calibri"/>
      <family val="2"/>
    </font>
    <font>
      <i/>
      <vertAlign val="superscript"/>
      <sz val="12"/>
      <name val="Calibri"/>
      <family val="2"/>
    </font>
    <font>
      <i/>
      <sz val="12"/>
      <name val="Calibri"/>
      <family val="2"/>
    </font>
    <font>
      <sz val="12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49" fontId="0" fillId="0" borderId="0" xfId="0" applyNumberFormat="1" applyBorder="1" applyAlignment="1"/>
    <xf numFmtId="49" fontId="1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0" fillId="0" borderId="0" xfId="0" applyNumberFormat="1"/>
    <xf numFmtId="0" fontId="9" fillId="0" borderId="0" xfId="0" applyFont="1"/>
    <xf numFmtId="16" fontId="3" fillId="0" borderId="0" xfId="0" quotePrefix="1" applyNumberFormat="1" applyFont="1" applyBorder="1" applyAlignment="1">
      <alignment horizontal="center"/>
    </xf>
    <xf numFmtId="43" fontId="2" fillId="0" borderId="0" xfId="1" applyFont="1"/>
    <xf numFmtId="8" fontId="2" fillId="0" borderId="0" xfId="0" applyNumberFormat="1" applyFont="1"/>
    <xf numFmtId="43" fontId="0" fillId="0" borderId="0" xfId="1" applyFont="1"/>
    <xf numFmtId="0" fontId="9" fillId="0" borderId="0" xfId="0" quotePrefix="1" applyFont="1"/>
    <xf numFmtId="0" fontId="3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9" fillId="0" borderId="0" xfId="0" applyFont="1" applyAlignment="1">
      <alignment horizontal="left" indent="1"/>
    </xf>
    <xf numFmtId="8" fontId="10" fillId="0" borderId="0" xfId="0" applyNumberFormat="1" applyFont="1"/>
    <xf numFmtId="164" fontId="1" fillId="0" borderId="0" xfId="1" applyNumberFormat="1"/>
    <xf numFmtId="9" fontId="0" fillId="0" borderId="0" xfId="3" applyFont="1"/>
    <xf numFmtId="165" fontId="0" fillId="0" borderId="0" xfId="0" applyNumberForma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5" fillId="0" borderId="0" xfId="0" applyFont="1"/>
    <xf numFmtId="0" fontId="12" fillId="0" borderId="0" xfId="0" applyFont="1" applyAlignment="1">
      <alignment horizontal="left"/>
    </xf>
    <xf numFmtId="1" fontId="12" fillId="0" borderId="0" xfId="3" applyNumberFormat="1" applyFont="1" applyFill="1"/>
    <xf numFmtId="1" fontId="12" fillId="0" borderId="0" xfId="3" applyNumberFormat="1" applyFont="1"/>
    <xf numFmtId="0" fontId="12" fillId="0" borderId="0" xfId="0" applyFont="1"/>
    <xf numFmtId="0" fontId="11" fillId="0" borderId="0" xfId="0" applyFont="1" applyAlignment="1">
      <alignment horizontal="left" indent="1"/>
    </xf>
    <xf numFmtId="167" fontId="11" fillId="0" borderId="0" xfId="3" applyNumberFormat="1" applyFont="1" applyFill="1"/>
    <xf numFmtId="165" fontId="11" fillId="0" borderId="0" xfId="3" applyNumberFormat="1" applyFont="1"/>
    <xf numFmtId="166" fontId="11" fillId="0" borderId="0" xfId="3" applyNumberFormat="1" applyFont="1"/>
    <xf numFmtId="8" fontId="11" fillId="0" borderId="0" xfId="0" applyNumberFormat="1" applyFont="1"/>
    <xf numFmtId="166" fontId="11" fillId="0" borderId="0" xfId="3" applyNumberFormat="1" applyFont="1" applyAlignment="1">
      <alignment horizontal="right"/>
    </xf>
    <xf numFmtId="165" fontId="12" fillId="0" borderId="0" xfId="3" applyNumberFormat="1" applyFont="1"/>
    <xf numFmtId="167" fontId="15" fillId="0" borderId="0" xfId="0" applyNumberFormat="1" applyFont="1" applyFill="1"/>
    <xf numFmtId="1" fontId="11" fillId="0" borderId="0" xfId="3" applyNumberFormat="1" applyFont="1"/>
    <xf numFmtId="0" fontId="17" fillId="0" borderId="0" xfId="0" applyFont="1"/>
    <xf numFmtId="8" fontId="11" fillId="0" borderId="0" xfId="0" applyNumberFormat="1" applyFont="1" applyAlignment="1">
      <alignment horizontal="right"/>
    </xf>
    <xf numFmtId="37" fontId="11" fillId="0" borderId="0" xfId="2" applyNumberFormat="1" applyFont="1" applyAlignment="1">
      <alignment horizontal="right"/>
    </xf>
    <xf numFmtId="0" fontId="15" fillId="0" borderId="0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18" fillId="0" borderId="0" xfId="0" applyFont="1"/>
    <xf numFmtId="0" fontId="11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1" fontId="11" fillId="0" borderId="0" xfId="0" applyNumberFormat="1" applyFont="1"/>
    <xf numFmtId="3" fontId="12" fillId="0" borderId="0" xfId="3" applyNumberFormat="1" applyFont="1" applyFill="1"/>
    <xf numFmtId="43" fontId="11" fillId="0" borderId="0" xfId="1" applyFont="1" applyFill="1"/>
    <xf numFmtId="164" fontId="12" fillId="0" borderId="0" xfId="1" applyNumberFormat="1" applyFont="1" applyFill="1"/>
    <xf numFmtId="165" fontId="11" fillId="0" borderId="0" xfId="0" applyNumberFormat="1" applyFont="1"/>
    <xf numFmtId="167" fontId="11" fillId="0" borderId="0" xfId="0" applyNumberFormat="1" applyFont="1"/>
    <xf numFmtId="0" fontId="0" fillId="0" borderId="0" xfId="0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76200</xdr:colOff>
      <xdr:row>1</xdr:row>
      <xdr:rowOff>219075</xdr:rowOff>
    </xdr:to>
    <xdr:pic>
      <xdr:nvPicPr>
        <xdr:cNvPr id="43009" name="Picture 1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43010" name="Picture 2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69"/>
      <c r="B1" s="69"/>
      <c r="C1" s="69"/>
      <c r="D1" s="69"/>
      <c r="E1" s="69"/>
      <c r="F1" s="69"/>
    </row>
    <row r="2" spans="1:11" ht="26.25" customHeight="1" x14ac:dyDescent="0.25">
      <c r="A2" s="70" t="s">
        <v>22</v>
      </c>
      <c r="B2" s="71"/>
      <c r="C2" s="71"/>
      <c r="D2" s="71"/>
      <c r="E2" s="71"/>
      <c r="F2" s="71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69"/>
      <c r="B1" s="69"/>
      <c r="C1" s="69"/>
      <c r="D1" s="69"/>
      <c r="E1" s="69"/>
      <c r="F1" s="69"/>
    </row>
    <row r="2" spans="1:11" ht="26.25" customHeight="1" x14ac:dyDescent="0.25">
      <c r="A2" s="70" t="s">
        <v>22</v>
      </c>
      <c r="B2" s="71"/>
      <c r="C2" s="71"/>
      <c r="D2" s="71"/>
      <c r="E2" s="71"/>
      <c r="F2" s="71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73" t="s">
        <v>40</v>
      </c>
      <c r="B42" s="74"/>
      <c r="C42" s="74"/>
      <c r="D42" s="74"/>
      <c r="E42" s="74"/>
      <c r="F42" s="74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69"/>
      <c r="B1" s="69"/>
      <c r="C1" s="69"/>
      <c r="D1" s="69"/>
      <c r="E1" s="69"/>
      <c r="F1" s="69"/>
    </row>
    <row r="2" spans="1:11" ht="26.25" customHeight="1" x14ac:dyDescent="0.25">
      <c r="A2" s="70" t="s">
        <v>22</v>
      </c>
      <c r="B2" s="71"/>
      <c r="C2" s="71"/>
      <c r="D2" s="71"/>
      <c r="E2" s="71"/>
      <c r="F2" s="71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73" t="s">
        <v>40</v>
      </c>
      <c r="B52" s="74"/>
      <c r="C52" s="74"/>
      <c r="D52" s="74"/>
      <c r="E52" s="74"/>
      <c r="F52" s="74"/>
    </row>
    <row r="53" spans="1:6" x14ac:dyDescent="0.2">
      <c r="A53" s="24" t="s">
        <v>34</v>
      </c>
    </row>
    <row r="54" spans="1:6" ht="26.25" customHeight="1" x14ac:dyDescent="0.2">
      <c r="A54" s="75" t="s">
        <v>43</v>
      </c>
      <c r="B54" s="75"/>
      <c r="C54" s="75"/>
      <c r="D54" s="75"/>
      <c r="E54" s="75"/>
      <c r="F54" s="75"/>
    </row>
  </sheetData>
  <mergeCells count="4">
    <mergeCell ref="A1:F1"/>
    <mergeCell ref="A2:F2"/>
    <mergeCell ref="A52:F52"/>
    <mergeCell ref="A54:F54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69"/>
      <c r="B1" s="69"/>
      <c r="C1" s="69"/>
      <c r="D1" s="69"/>
      <c r="E1" s="69"/>
      <c r="F1" s="69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3" t="s">
        <v>40</v>
      </c>
      <c r="B52" s="74"/>
      <c r="C52" s="74"/>
      <c r="D52" s="74"/>
      <c r="E52" s="74"/>
      <c r="F52" s="74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69"/>
      <c r="B1" s="69"/>
      <c r="C1" s="69"/>
      <c r="D1" s="69"/>
      <c r="E1" s="69"/>
      <c r="F1" s="69"/>
      <c r="G1" s="69"/>
      <c r="H1" s="69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73" t="s">
        <v>40</v>
      </c>
      <c r="B52" s="74"/>
      <c r="C52" s="74"/>
      <c r="D52" s="74"/>
      <c r="E52" s="74"/>
      <c r="F52" s="74"/>
      <c r="G52" s="74"/>
      <c r="H52" s="74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69"/>
      <c r="B1" s="69"/>
      <c r="C1" s="69"/>
      <c r="D1" s="69"/>
      <c r="E1" s="69"/>
      <c r="F1" s="69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3" t="s">
        <v>40</v>
      </c>
      <c r="B52" s="74"/>
      <c r="C52" s="74"/>
      <c r="D52" s="74"/>
      <c r="E52" s="74"/>
      <c r="F52" s="74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69"/>
      <c r="B1" s="69"/>
      <c r="C1" s="69"/>
      <c r="D1" s="69"/>
      <c r="E1" s="69"/>
      <c r="F1" s="69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73" t="s">
        <v>40</v>
      </c>
      <c r="B52" s="74"/>
      <c r="C52" s="74"/>
      <c r="D52" s="74"/>
      <c r="E52" s="74"/>
      <c r="F52" s="74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4" t="s">
        <v>51</v>
      </c>
      <c r="B38" s="74"/>
      <c r="C38" s="74"/>
      <c r="D38" s="74"/>
      <c r="E38" s="74"/>
      <c r="F38" s="74"/>
      <c r="G38" s="74"/>
      <c r="H38" s="7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74" t="s">
        <v>54</v>
      </c>
      <c r="B61" s="74"/>
      <c r="C61" s="74"/>
      <c r="D61" s="74"/>
      <c r="E61" s="74"/>
      <c r="F61" s="74"/>
      <c r="G61" s="74"/>
      <c r="H61" s="74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69"/>
      <c r="B1" s="69"/>
      <c r="C1" s="69"/>
      <c r="D1" s="69"/>
      <c r="E1" s="69"/>
      <c r="F1" s="69"/>
    </row>
    <row r="2" spans="1:7" ht="26.25" customHeight="1" x14ac:dyDescent="0.25">
      <c r="A2" s="70" t="s">
        <v>22</v>
      </c>
      <c r="B2" s="71"/>
      <c r="C2" s="71"/>
      <c r="D2" s="71"/>
      <c r="E2" s="71"/>
      <c r="F2" s="7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4" t="s">
        <v>51</v>
      </c>
      <c r="B38" s="74"/>
      <c r="C38" s="74"/>
      <c r="D38" s="74"/>
      <c r="E38" s="74"/>
      <c r="F38" s="74"/>
      <c r="G38" s="74"/>
      <c r="H38" s="7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4" t="s">
        <v>51</v>
      </c>
      <c r="B61" s="74"/>
      <c r="C61" s="74"/>
      <c r="D61" s="74"/>
      <c r="E61" s="74"/>
      <c r="F61" s="74"/>
      <c r="G61" s="74"/>
      <c r="H61" s="74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74" t="s">
        <v>51</v>
      </c>
      <c r="B38" s="74"/>
      <c r="C38" s="74"/>
      <c r="D38" s="74"/>
      <c r="E38" s="74"/>
      <c r="F38" s="74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74" t="s">
        <v>51</v>
      </c>
      <c r="B61" s="74"/>
      <c r="C61" s="74"/>
      <c r="D61" s="74"/>
      <c r="E61" s="74"/>
      <c r="F61" s="74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74" t="s">
        <v>51</v>
      </c>
      <c r="B38" s="74"/>
      <c r="C38" s="74"/>
      <c r="D38" s="74"/>
      <c r="E38" s="74"/>
      <c r="F38" s="74"/>
      <c r="G38" s="74"/>
      <c r="H38" s="7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74" t="s">
        <v>51</v>
      </c>
      <c r="B61" s="74"/>
      <c r="C61" s="74"/>
      <c r="D61" s="74"/>
      <c r="E61" s="74"/>
      <c r="F61" s="74"/>
      <c r="G61" s="74"/>
      <c r="H61" s="74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4" t="s">
        <v>51</v>
      </c>
      <c r="B62" s="74"/>
      <c r="C62" s="74"/>
      <c r="D62" s="74"/>
      <c r="E62" s="74"/>
      <c r="F62" s="74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74" t="s">
        <v>51</v>
      </c>
      <c r="B62" s="74"/>
      <c r="C62" s="74"/>
      <c r="D62" s="74"/>
      <c r="E62" s="74"/>
      <c r="F62" s="74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69"/>
      <c r="B1" s="69"/>
      <c r="C1" s="69"/>
      <c r="D1" s="69"/>
      <c r="E1" s="69"/>
      <c r="F1" s="69"/>
    </row>
    <row r="2" spans="1:7" ht="26.25" customHeight="1" x14ac:dyDescent="0.25">
      <c r="A2" s="70" t="s">
        <v>22</v>
      </c>
      <c r="B2" s="71"/>
      <c r="C2" s="71"/>
      <c r="D2" s="71"/>
      <c r="E2" s="71"/>
      <c r="F2" s="7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4" t="s">
        <v>51</v>
      </c>
      <c r="B39" s="74"/>
      <c r="C39" s="74"/>
      <c r="D39" s="74"/>
      <c r="E39" s="74"/>
      <c r="F39" s="74"/>
      <c r="G39" s="74"/>
      <c r="H39" s="74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74" t="s">
        <v>51</v>
      </c>
      <c r="B72" s="74"/>
      <c r="C72" s="74"/>
      <c r="D72" s="74"/>
      <c r="E72" s="74"/>
      <c r="F72" s="74"/>
      <c r="G72" s="74"/>
      <c r="H72" s="74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4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74" t="s">
        <v>51</v>
      </c>
      <c r="B72" s="74"/>
      <c r="C72" s="74"/>
      <c r="D72" s="74"/>
      <c r="E72" s="74"/>
      <c r="F72" s="74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74" t="s">
        <v>51</v>
      </c>
      <c r="B72" s="74"/>
      <c r="C72" s="74"/>
      <c r="D72" s="74"/>
      <c r="E72" s="74"/>
      <c r="F72" s="74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4" t="s">
        <v>51</v>
      </c>
      <c r="B72" s="74"/>
      <c r="C72" s="74"/>
      <c r="D72" s="74"/>
      <c r="E72" s="74"/>
      <c r="F72" s="74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6"/>
  <sheetViews>
    <sheetView tabSelected="1" zoomScale="85" zoomScaleNormal="85" zoomScaleSheetLayoutView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286" sqref="M286"/>
    </sheetView>
  </sheetViews>
  <sheetFormatPr defaultRowHeight="15.75" x14ac:dyDescent="0.25"/>
  <cols>
    <col min="1" max="1" width="37.85546875" style="35" bestFit="1" customWidth="1"/>
    <col min="2" max="8" width="20.7109375" style="35" customWidth="1"/>
    <col min="9" max="9" width="20.7109375" style="62" customWidth="1"/>
    <col min="10" max="13" width="20.7109375" style="35" customWidth="1"/>
    <col min="14" max="14" width="2.85546875" style="35" customWidth="1"/>
    <col min="15" max="16" width="20.7109375" style="35" customWidth="1"/>
    <col min="17" max="17" width="19.42578125" style="35" bestFit="1" customWidth="1"/>
    <col min="18" max="18" width="13.140625" style="35" bestFit="1" customWidth="1"/>
    <col min="19" max="16384" width="9.140625" style="35"/>
  </cols>
  <sheetData>
    <row r="1" spans="1:16" ht="58.5" customHeight="1" x14ac:dyDescent="0.25">
      <c r="A1" s="34"/>
      <c r="B1" s="34"/>
      <c r="C1" s="34"/>
      <c r="D1" s="34"/>
      <c r="E1" s="34"/>
      <c r="F1" s="34"/>
      <c r="G1" s="34"/>
      <c r="H1" s="34"/>
      <c r="I1" s="61"/>
      <c r="J1" s="34"/>
      <c r="K1" s="34"/>
      <c r="L1" s="34"/>
      <c r="M1" s="34"/>
      <c r="N1" s="34"/>
      <c r="O1" s="34"/>
      <c r="P1" s="34"/>
    </row>
    <row r="2" spans="1:16" ht="18.75" customHeight="1" x14ac:dyDescent="0.25"/>
    <row r="3" spans="1:16" ht="32.25" customHeight="1" x14ac:dyDescent="0.25">
      <c r="A3" s="77" t="s">
        <v>100</v>
      </c>
      <c r="B3" s="77"/>
      <c r="C3" s="77"/>
      <c r="D3" s="77"/>
      <c r="E3" s="77"/>
      <c r="F3" s="77"/>
      <c r="G3" s="77"/>
      <c r="H3" s="77" t="s">
        <v>101</v>
      </c>
      <c r="I3" s="77"/>
      <c r="J3" s="77"/>
      <c r="K3" s="77"/>
      <c r="L3" s="77"/>
      <c r="M3" s="77"/>
      <c r="N3" s="77"/>
    </row>
    <row r="4" spans="1:16" s="58" customFormat="1" ht="23.25" customHeight="1" x14ac:dyDescent="0.25">
      <c r="A4" s="56"/>
      <c r="B4" s="57" t="s">
        <v>116</v>
      </c>
      <c r="C4" s="57" t="s">
        <v>117</v>
      </c>
      <c r="D4" s="57" t="s">
        <v>118</v>
      </c>
      <c r="E4" s="57" t="s">
        <v>119</v>
      </c>
      <c r="F4" s="57" t="s">
        <v>120</v>
      </c>
      <c r="G4" s="57" t="s">
        <v>121</v>
      </c>
      <c r="H4" s="57" t="s">
        <v>122</v>
      </c>
      <c r="I4" s="57" t="s">
        <v>123</v>
      </c>
      <c r="J4" s="57" t="s">
        <v>124</v>
      </c>
      <c r="K4" s="57" t="s">
        <v>125</v>
      </c>
      <c r="L4" s="57" t="s">
        <v>126</v>
      </c>
      <c r="M4" s="57" t="s">
        <v>127</v>
      </c>
      <c r="N4" s="57"/>
      <c r="O4" s="57" t="s">
        <v>128</v>
      </c>
      <c r="P4" s="57" t="s">
        <v>85</v>
      </c>
    </row>
    <row r="5" spans="1:16" s="38" customForma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5">
      <c r="A6" s="39" t="s">
        <v>89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s="43" customFormat="1" x14ac:dyDescent="0.25">
      <c r="A7" s="40" t="s">
        <v>87</v>
      </c>
      <c r="B7" s="41">
        <v>87</v>
      </c>
      <c r="C7" s="41">
        <v>87</v>
      </c>
      <c r="D7" s="41">
        <v>87</v>
      </c>
      <c r="E7" s="41">
        <v>87</v>
      </c>
      <c r="F7" s="41">
        <v>90.2</v>
      </c>
      <c r="G7" s="41">
        <v>91</v>
      </c>
      <c r="H7" s="41">
        <v>91</v>
      </c>
      <c r="I7" s="41">
        <v>91</v>
      </c>
      <c r="J7" s="41">
        <v>91</v>
      </c>
      <c r="K7" s="41">
        <v>91</v>
      </c>
      <c r="L7" s="41">
        <v>91</v>
      </c>
      <c r="M7" s="41">
        <v>91</v>
      </c>
      <c r="N7" s="42"/>
      <c r="O7" s="41"/>
      <c r="P7" s="41"/>
    </row>
    <row r="8" spans="1:16" x14ac:dyDescent="0.25">
      <c r="A8" s="44" t="s">
        <v>97</v>
      </c>
      <c r="B8" s="45">
        <v>4292436.8900000006</v>
      </c>
      <c r="C8" s="45">
        <v>3652723.61</v>
      </c>
      <c r="D8" s="45">
        <v>4117169.4800000004</v>
      </c>
      <c r="E8" s="45">
        <v>4261669.2100000009</v>
      </c>
      <c r="F8" s="45">
        <v>3560586.83</v>
      </c>
      <c r="G8" s="45">
        <v>3390942.8099999996</v>
      </c>
      <c r="H8" s="45">
        <v>4355313.79</v>
      </c>
      <c r="I8" s="45">
        <v>4058148</v>
      </c>
      <c r="J8" s="45">
        <v>5005960.08</v>
      </c>
      <c r="K8" s="45">
        <v>3709021.9999999995</v>
      </c>
      <c r="L8" s="45">
        <v>5170380.4499999993</v>
      </c>
      <c r="M8" s="45">
        <v>3678459.1700000004</v>
      </c>
      <c r="N8" s="46"/>
      <c r="O8" s="45">
        <f>SUM(B8:M8)</f>
        <v>49252812.320000008</v>
      </c>
      <c r="P8" s="45">
        <f>O8+169357062</f>
        <v>218609874.31999999</v>
      </c>
    </row>
    <row r="9" spans="1:16" ht="18" x14ac:dyDescent="0.25">
      <c r="A9" s="44" t="s">
        <v>102</v>
      </c>
      <c r="B9" s="45">
        <v>515092.42999999993</v>
      </c>
      <c r="C9" s="45">
        <v>438326.83</v>
      </c>
      <c r="D9" s="45">
        <v>494060.3299999999</v>
      </c>
      <c r="E9" s="45">
        <v>511400.31</v>
      </c>
      <c r="F9" s="45">
        <v>427270.42000000004</v>
      </c>
      <c r="G9" s="45">
        <v>406913.13</v>
      </c>
      <c r="H9" s="45">
        <v>522637.65</v>
      </c>
      <c r="I9" s="45">
        <v>486977.76</v>
      </c>
      <c r="J9" s="45">
        <v>600715.21</v>
      </c>
      <c r="K9" s="45">
        <v>445082.65</v>
      </c>
      <c r="L9" s="45">
        <v>620445.65999999992</v>
      </c>
      <c r="M9" s="45">
        <v>441415.10999999993</v>
      </c>
      <c r="N9" s="47"/>
      <c r="O9" s="45">
        <f>SUM(B9:M9)</f>
        <v>5910337.4900000002</v>
      </c>
      <c r="P9" s="45">
        <f>O9+21988355</f>
        <v>27898692.490000002</v>
      </c>
    </row>
    <row r="10" spans="1:16" x14ac:dyDescent="0.25">
      <c r="A10" s="44" t="s">
        <v>88</v>
      </c>
      <c r="B10" s="45">
        <v>85848.739999999991</v>
      </c>
      <c r="C10" s="45">
        <v>73054.47</v>
      </c>
      <c r="D10" s="45">
        <v>82343.39</v>
      </c>
      <c r="E10" s="45">
        <v>85233.4</v>
      </c>
      <c r="F10" s="45">
        <v>71211.739999999991</v>
      </c>
      <c r="G10" s="45">
        <v>67818.850000000006</v>
      </c>
      <c r="H10" s="45">
        <v>87106.28</v>
      </c>
      <c r="I10" s="45">
        <v>81162.959999999992</v>
      </c>
      <c r="J10" s="45">
        <v>100119.20999999999</v>
      </c>
      <c r="K10" s="45">
        <v>74180.44</v>
      </c>
      <c r="L10" s="45">
        <v>103407.61000000002</v>
      </c>
      <c r="M10" s="45">
        <v>73569.180000000008</v>
      </c>
      <c r="N10" s="47"/>
      <c r="O10" s="45">
        <f>SUM(B10:M10)</f>
        <v>985056.27</v>
      </c>
      <c r="P10" s="45">
        <f>O10+3387141</f>
        <v>4372197.2699999996</v>
      </c>
    </row>
    <row r="11" spans="1:16" s="43" customFormat="1" ht="18" x14ac:dyDescent="0.25">
      <c r="A11" s="40" t="s">
        <v>103</v>
      </c>
      <c r="B11" s="41">
        <v>18</v>
      </c>
      <c r="C11" s="41">
        <v>18</v>
      </c>
      <c r="D11" s="41">
        <v>18</v>
      </c>
      <c r="E11" s="41">
        <v>18</v>
      </c>
      <c r="F11" s="41">
        <v>18</v>
      </c>
      <c r="G11" s="41">
        <v>18</v>
      </c>
      <c r="H11" s="41">
        <v>18</v>
      </c>
      <c r="I11" s="41">
        <v>18</v>
      </c>
      <c r="J11" s="41">
        <v>18</v>
      </c>
      <c r="K11" s="41">
        <v>18</v>
      </c>
      <c r="L11" s="41">
        <v>18</v>
      </c>
      <c r="M11" s="41">
        <v>18</v>
      </c>
      <c r="N11" s="39"/>
      <c r="O11" s="41"/>
      <c r="P11" s="41"/>
    </row>
    <row r="12" spans="1:16" x14ac:dyDescent="0.25">
      <c r="A12" s="44" t="s">
        <v>97</v>
      </c>
      <c r="B12" s="45">
        <v>279892</v>
      </c>
      <c r="C12" s="45">
        <v>267946</v>
      </c>
      <c r="D12" s="45">
        <v>220227</v>
      </c>
      <c r="E12" s="45">
        <v>258220.9</v>
      </c>
      <c r="F12" s="45">
        <v>279633</v>
      </c>
      <c r="G12" s="45">
        <v>225607</v>
      </c>
      <c r="H12" s="45">
        <v>279226</v>
      </c>
      <c r="I12" s="45">
        <v>259310</v>
      </c>
      <c r="J12" s="45">
        <v>288545</v>
      </c>
      <c r="K12" s="45">
        <v>256776</v>
      </c>
      <c r="L12" s="45">
        <v>263771</v>
      </c>
      <c r="M12" s="45">
        <v>217841</v>
      </c>
      <c r="N12" s="48"/>
      <c r="O12" s="45">
        <f>SUM(B12:M12)</f>
        <v>3096994.9</v>
      </c>
      <c r="P12" s="45">
        <f>O12+15748729</f>
        <v>18845723.899999999</v>
      </c>
    </row>
    <row r="13" spans="1:16" s="43" customFormat="1" ht="18" x14ac:dyDescent="0.25">
      <c r="A13" s="44" t="s">
        <v>102</v>
      </c>
      <c r="B13" s="45">
        <v>33587.040000000001</v>
      </c>
      <c r="C13" s="45">
        <v>32153.52</v>
      </c>
      <c r="D13" s="45">
        <v>26427.239999999998</v>
      </c>
      <c r="E13" s="45">
        <v>30986.51</v>
      </c>
      <c r="F13" s="45">
        <v>33555.96</v>
      </c>
      <c r="G13" s="45">
        <v>27072.84</v>
      </c>
      <c r="H13" s="45">
        <v>33507.120000000003</v>
      </c>
      <c r="I13" s="45">
        <v>31117.200000000001</v>
      </c>
      <c r="J13" s="45">
        <v>34625.399999999994</v>
      </c>
      <c r="K13" s="45">
        <v>30813.119999999999</v>
      </c>
      <c r="L13" s="45">
        <v>31652.520000000004</v>
      </c>
      <c r="M13" s="45">
        <v>26140.920000000002</v>
      </c>
      <c r="N13" s="39"/>
      <c r="O13" s="45">
        <f>SUM(B13:M13)</f>
        <v>371639.38999999996</v>
      </c>
      <c r="P13" s="45">
        <f>O13+2056378</f>
        <v>2428017.39</v>
      </c>
    </row>
    <row r="14" spans="1:16" x14ac:dyDescent="0.25">
      <c r="A14" s="44" t="s">
        <v>88</v>
      </c>
      <c r="B14" s="45">
        <v>5597.84</v>
      </c>
      <c r="C14" s="45">
        <v>5358.92</v>
      </c>
      <c r="D14" s="45">
        <v>4404.54</v>
      </c>
      <c r="E14" s="45">
        <v>5164.42</v>
      </c>
      <c r="F14" s="45">
        <v>5592.66</v>
      </c>
      <c r="G14" s="45">
        <v>4512.1400000000003</v>
      </c>
      <c r="H14" s="45">
        <v>5584.5199999999995</v>
      </c>
      <c r="I14" s="45">
        <v>5186.2</v>
      </c>
      <c r="J14" s="45">
        <v>5770.9000000000005</v>
      </c>
      <c r="K14" s="45">
        <v>5135.5200000000004</v>
      </c>
      <c r="L14" s="45">
        <v>5275.42</v>
      </c>
      <c r="M14" s="45">
        <v>4356.82</v>
      </c>
      <c r="N14" s="48"/>
      <c r="O14" s="45">
        <f>SUM(B14:M14)</f>
        <v>61939.9</v>
      </c>
      <c r="P14" s="45">
        <f>O14+314975</f>
        <v>376914.9</v>
      </c>
    </row>
    <row r="15" spans="1:16" s="43" customFormat="1" ht="18" x14ac:dyDescent="0.25">
      <c r="A15" s="40" t="s">
        <v>104</v>
      </c>
      <c r="B15" s="41">
        <v>69</v>
      </c>
      <c r="C15" s="41">
        <v>69</v>
      </c>
      <c r="D15" s="41">
        <v>69</v>
      </c>
      <c r="E15" s="41">
        <v>69</v>
      </c>
      <c r="F15" s="41">
        <v>72.2</v>
      </c>
      <c r="G15" s="41">
        <v>73</v>
      </c>
      <c r="H15" s="41">
        <v>73</v>
      </c>
      <c r="I15" s="41">
        <v>73</v>
      </c>
      <c r="J15" s="41">
        <v>73</v>
      </c>
      <c r="K15" s="41">
        <v>73</v>
      </c>
      <c r="L15" s="41">
        <v>73</v>
      </c>
      <c r="M15" s="41">
        <v>73</v>
      </c>
      <c r="N15" s="39"/>
      <c r="O15" s="41"/>
      <c r="P15" s="41"/>
    </row>
    <row r="16" spans="1:16" x14ac:dyDescent="0.25">
      <c r="A16" s="44" t="s">
        <v>97</v>
      </c>
      <c r="B16" s="45">
        <v>4012544.8900000006</v>
      </c>
      <c r="C16" s="45">
        <v>3384777.61</v>
      </c>
      <c r="D16" s="45">
        <v>3896942.4800000004</v>
      </c>
      <c r="E16" s="45">
        <v>4003448.31</v>
      </c>
      <c r="F16" s="45">
        <v>3280953.83</v>
      </c>
      <c r="G16" s="45">
        <v>3165335.8099999996</v>
      </c>
      <c r="H16" s="45">
        <v>4076087.79</v>
      </c>
      <c r="I16" s="45">
        <v>3798838</v>
      </c>
      <c r="J16" s="45">
        <v>4717415.08</v>
      </c>
      <c r="K16" s="45">
        <v>3452245.9999999995</v>
      </c>
      <c r="L16" s="45">
        <v>4906609.4499999993</v>
      </c>
      <c r="M16" s="45">
        <v>3460618.1700000004</v>
      </c>
      <c r="N16" s="49"/>
      <c r="O16" s="45">
        <f t="shared" ref="O16:O26" si="0">SUM(B16:M16)</f>
        <v>46155817.420000002</v>
      </c>
      <c r="P16" s="45">
        <f>O16+153608333</f>
        <v>199764150.42000002</v>
      </c>
    </row>
    <row r="17" spans="1:16" s="43" customFormat="1" ht="18" x14ac:dyDescent="0.25">
      <c r="A17" s="44" t="s">
        <v>102</v>
      </c>
      <c r="B17" s="45">
        <v>481505.39</v>
      </c>
      <c r="C17" s="45">
        <v>406173.31</v>
      </c>
      <c r="D17" s="45">
        <v>467633.08999999997</v>
      </c>
      <c r="E17" s="45">
        <v>480413.80000000005</v>
      </c>
      <c r="F17" s="45">
        <v>393714.45999999996</v>
      </c>
      <c r="G17" s="45">
        <v>379840.29</v>
      </c>
      <c r="H17" s="45">
        <v>489130.52999999991</v>
      </c>
      <c r="I17" s="45">
        <v>455860.56000000006</v>
      </c>
      <c r="J17" s="45">
        <v>566089.81000000006</v>
      </c>
      <c r="K17" s="45">
        <v>414269.52999999997</v>
      </c>
      <c r="L17" s="45">
        <v>588793.14</v>
      </c>
      <c r="M17" s="45">
        <v>415274.19</v>
      </c>
      <c r="N17" s="39"/>
      <c r="O17" s="45">
        <f t="shared" si="0"/>
        <v>5538698.0999999996</v>
      </c>
      <c r="P17" s="45">
        <f>O17+19931976</f>
        <v>25470674.100000001</v>
      </c>
    </row>
    <row r="18" spans="1:16" x14ac:dyDescent="0.25">
      <c r="A18" s="44" t="s">
        <v>88</v>
      </c>
      <c r="B18" s="45">
        <v>80250.899999999994</v>
      </c>
      <c r="C18" s="45">
        <v>67695.55</v>
      </c>
      <c r="D18" s="45">
        <v>77938.849999999991</v>
      </c>
      <c r="E18" s="45">
        <v>80068.98000000001</v>
      </c>
      <c r="F18" s="45">
        <v>65619.079999999987</v>
      </c>
      <c r="G18" s="45">
        <v>63306.710000000006</v>
      </c>
      <c r="H18" s="45">
        <v>81521.760000000009</v>
      </c>
      <c r="I18" s="45">
        <v>75976.759999999995</v>
      </c>
      <c r="J18" s="45">
        <v>94348.31</v>
      </c>
      <c r="K18" s="45">
        <v>69044.92</v>
      </c>
      <c r="L18" s="45">
        <v>98132.190000000017</v>
      </c>
      <c r="M18" s="45">
        <v>69212.36</v>
      </c>
      <c r="N18" s="47"/>
      <c r="O18" s="45">
        <f t="shared" si="0"/>
        <v>923116.37</v>
      </c>
      <c r="P18" s="45">
        <f>O18+3072167</f>
        <v>3995283.37</v>
      </c>
    </row>
    <row r="19" spans="1:16" ht="18" x14ac:dyDescent="0.25">
      <c r="A19" s="40" t="s">
        <v>105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39"/>
      <c r="O19" s="41"/>
      <c r="P19" s="41"/>
    </row>
    <row r="20" spans="1:16" x14ac:dyDescent="0.25">
      <c r="A20" s="44" t="s">
        <v>97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39"/>
      <c r="O20" s="45">
        <f t="shared" si="0"/>
        <v>0</v>
      </c>
      <c r="P20" s="45">
        <f>O20</f>
        <v>0</v>
      </c>
    </row>
    <row r="21" spans="1:16" s="43" customFormat="1" ht="18" x14ac:dyDescent="0.25">
      <c r="A21" s="44" t="s">
        <v>102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2"/>
      <c r="O21" s="45">
        <f t="shared" si="0"/>
        <v>0</v>
      </c>
      <c r="P21" s="45">
        <f>O21</f>
        <v>0</v>
      </c>
    </row>
    <row r="22" spans="1:16" s="43" customFormat="1" x14ac:dyDescent="0.25">
      <c r="A22" s="44" t="s">
        <v>88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50"/>
      <c r="O22" s="45">
        <f t="shared" si="0"/>
        <v>0</v>
      </c>
      <c r="P22" s="45">
        <f>O22</f>
        <v>0</v>
      </c>
    </row>
    <row r="23" spans="1:16" ht="18" x14ac:dyDescent="0.25">
      <c r="A23" s="40" t="s">
        <v>106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7"/>
      <c r="O23" s="41"/>
      <c r="P23" s="41"/>
    </row>
    <row r="24" spans="1:16" x14ac:dyDescent="0.25">
      <c r="A24" s="44" t="s">
        <v>97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7"/>
      <c r="O24" s="45">
        <f t="shared" si="0"/>
        <v>0</v>
      </c>
      <c r="P24" s="45">
        <f>O24</f>
        <v>0</v>
      </c>
    </row>
    <row r="25" spans="1:16" ht="18" x14ac:dyDescent="0.25">
      <c r="A25" s="44" t="s">
        <v>102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9"/>
      <c r="O25" s="45">
        <f t="shared" si="0"/>
        <v>0</v>
      </c>
      <c r="P25" s="45">
        <f>O25</f>
        <v>0</v>
      </c>
    </row>
    <row r="26" spans="1:16" x14ac:dyDescent="0.25">
      <c r="A26" s="44" t="s">
        <v>88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8"/>
      <c r="O26" s="45">
        <f t="shared" si="0"/>
        <v>0</v>
      </c>
      <c r="P26" s="45">
        <f>O26</f>
        <v>0</v>
      </c>
    </row>
    <row r="27" spans="1:16" x14ac:dyDescent="0.25">
      <c r="B27" s="45"/>
      <c r="C27" s="45"/>
      <c r="D27" s="45"/>
      <c r="E27" s="45"/>
      <c r="F27" s="45"/>
      <c r="G27" s="45"/>
      <c r="I27" s="45"/>
      <c r="J27" s="45"/>
      <c r="K27" s="45"/>
      <c r="L27" s="45"/>
      <c r="M27" s="45"/>
      <c r="N27" s="39"/>
      <c r="O27" s="45"/>
      <c r="P27" s="45"/>
    </row>
    <row r="28" spans="1:16" x14ac:dyDescent="0.25">
      <c r="A28" s="39" t="s">
        <v>90</v>
      </c>
      <c r="B28" s="51"/>
      <c r="C28" s="45"/>
      <c r="D28" s="45"/>
      <c r="E28" s="51"/>
      <c r="F28" s="51"/>
      <c r="G28" s="51"/>
      <c r="I28" s="51"/>
      <c r="J28" s="51"/>
      <c r="K28" s="45"/>
      <c r="L28" s="45"/>
      <c r="M28" s="45"/>
      <c r="N28" s="48"/>
      <c r="O28" s="51"/>
      <c r="P28" s="51"/>
    </row>
    <row r="29" spans="1:16" x14ac:dyDescent="0.25">
      <c r="A29" s="40" t="s">
        <v>87</v>
      </c>
      <c r="B29" s="41">
        <v>154</v>
      </c>
      <c r="C29" s="41">
        <v>154</v>
      </c>
      <c r="D29" s="41">
        <v>154</v>
      </c>
      <c r="E29" s="41">
        <v>154</v>
      </c>
      <c r="F29" s="41">
        <v>154</v>
      </c>
      <c r="G29" s="41">
        <v>154</v>
      </c>
      <c r="H29" s="41">
        <v>154</v>
      </c>
      <c r="I29" s="41">
        <v>154</v>
      </c>
      <c r="J29" s="41">
        <v>154</v>
      </c>
      <c r="K29" s="41">
        <v>154</v>
      </c>
      <c r="L29" s="41">
        <v>154.6</v>
      </c>
      <c r="M29" s="41">
        <v>163</v>
      </c>
      <c r="N29" s="39"/>
      <c r="O29" s="41"/>
      <c r="P29" s="41"/>
    </row>
    <row r="30" spans="1:16" x14ac:dyDescent="0.25">
      <c r="A30" s="44" t="s">
        <v>97</v>
      </c>
      <c r="B30" s="45">
        <v>10561581.5</v>
      </c>
      <c r="C30" s="45">
        <v>12189490.460000001</v>
      </c>
      <c r="D30" s="45">
        <v>10655110.619999999</v>
      </c>
      <c r="E30" s="45">
        <v>11191308.300000001</v>
      </c>
      <c r="F30" s="45">
        <v>10966412.559999999</v>
      </c>
      <c r="G30" s="45">
        <v>11597102.41</v>
      </c>
      <c r="H30" s="45">
        <v>10826803.9</v>
      </c>
      <c r="I30" s="45">
        <v>11696685.35</v>
      </c>
      <c r="J30" s="45">
        <v>12051174.51</v>
      </c>
      <c r="K30" s="45">
        <v>11550164.6</v>
      </c>
      <c r="L30" s="45">
        <v>11217499.309999999</v>
      </c>
      <c r="M30" s="45">
        <v>12514905.58</v>
      </c>
      <c r="N30" s="48"/>
      <c r="O30" s="45">
        <f>SUM(B30:M30)</f>
        <v>137018239.09999999</v>
      </c>
      <c r="P30" s="45">
        <f>O30+440860089</f>
        <v>577878328.10000002</v>
      </c>
    </row>
    <row r="31" spans="1:16" ht="18" x14ac:dyDescent="0.25">
      <c r="A31" s="44" t="s">
        <v>102</v>
      </c>
      <c r="B31" s="45">
        <v>1393649.29</v>
      </c>
      <c r="C31" s="45">
        <v>1589369.31</v>
      </c>
      <c r="D31" s="45">
        <v>1375022.14</v>
      </c>
      <c r="E31" s="45">
        <v>1446022.3900000001</v>
      </c>
      <c r="F31" s="45">
        <v>1444280.0699999998</v>
      </c>
      <c r="G31" s="45">
        <v>1532062.0899999999</v>
      </c>
      <c r="H31" s="45">
        <v>1415261.3599999999</v>
      </c>
      <c r="I31" s="45">
        <v>1524829.41</v>
      </c>
      <c r="J31" s="45">
        <v>1594314.81</v>
      </c>
      <c r="K31" s="45">
        <v>1481969.79</v>
      </c>
      <c r="L31" s="45">
        <v>1483713.0499999998</v>
      </c>
      <c r="M31" s="45">
        <v>1622864.37</v>
      </c>
      <c r="N31" s="39"/>
      <c r="O31" s="45">
        <f>SUM(B31:M31)</f>
        <v>17903358.080000002</v>
      </c>
      <c r="P31" s="45">
        <f>O31+60225338</f>
        <v>78128696.079999998</v>
      </c>
    </row>
    <row r="32" spans="1:16" x14ac:dyDescent="0.25">
      <c r="A32" s="44" t="s">
        <v>88</v>
      </c>
      <c r="B32" s="45">
        <v>211231.63999999998</v>
      </c>
      <c r="C32" s="45">
        <v>243789.81000000003</v>
      </c>
      <c r="D32" s="45">
        <v>213102.22999999998</v>
      </c>
      <c r="E32" s="45">
        <v>223826.18</v>
      </c>
      <c r="F32" s="45">
        <v>219328.26</v>
      </c>
      <c r="G32" s="45">
        <v>231942.06</v>
      </c>
      <c r="H32" s="45">
        <v>216536.08000000002</v>
      </c>
      <c r="I32" s="45">
        <v>233933.71</v>
      </c>
      <c r="J32" s="45">
        <v>241023.49999999997</v>
      </c>
      <c r="K32" s="45">
        <v>231003.3</v>
      </c>
      <c r="L32" s="45">
        <v>224350</v>
      </c>
      <c r="M32" s="45">
        <v>250298.13</v>
      </c>
      <c r="N32" s="49"/>
      <c r="O32" s="45">
        <f>SUM(B32:M32)</f>
        <v>2740364.9</v>
      </c>
      <c r="P32" s="45">
        <f>O32+8817203</f>
        <v>11557567.9</v>
      </c>
    </row>
    <row r="33" spans="1:16" ht="18" x14ac:dyDescent="0.25">
      <c r="A33" s="40" t="s">
        <v>103</v>
      </c>
      <c r="B33" s="41">
        <v>46</v>
      </c>
      <c r="C33" s="41">
        <v>46</v>
      </c>
      <c r="D33" s="41">
        <v>46</v>
      </c>
      <c r="E33" s="41">
        <v>46</v>
      </c>
      <c r="F33" s="41">
        <v>46</v>
      </c>
      <c r="G33" s="41">
        <v>46</v>
      </c>
      <c r="H33" s="41">
        <v>46</v>
      </c>
      <c r="I33" s="41">
        <v>46</v>
      </c>
      <c r="J33" s="41">
        <v>46</v>
      </c>
      <c r="K33" s="41">
        <v>46</v>
      </c>
      <c r="L33" s="41">
        <v>46</v>
      </c>
      <c r="M33" s="41">
        <v>45.8</v>
      </c>
      <c r="N33" s="39"/>
      <c r="O33" s="41"/>
      <c r="P33" s="41"/>
    </row>
    <row r="34" spans="1:16" x14ac:dyDescent="0.25">
      <c r="A34" s="44" t="s">
        <v>97</v>
      </c>
      <c r="B34" s="45">
        <v>1340457</v>
      </c>
      <c r="C34" s="45">
        <v>1556119.1</v>
      </c>
      <c r="D34" s="45">
        <v>1168539.26</v>
      </c>
      <c r="E34" s="45">
        <v>1557433</v>
      </c>
      <c r="F34" s="45">
        <v>1365330.01</v>
      </c>
      <c r="G34" s="45">
        <v>1429130</v>
      </c>
      <c r="H34" s="45">
        <v>1322903</v>
      </c>
      <c r="I34" s="45">
        <v>1326689</v>
      </c>
      <c r="J34" s="45">
        <v>1299344</v>
      </c>
      <c r="K34" s="45">
        <v>1157549</v>
      </c>
      <c r="L34" s="45">
        <v>1355112.25</v>
      </c>
      <c r="M34" s="45">
        <v>1163828.02</v>
      </c>
      <c r="N34" s="47"/>
      <c r="O34" s="45">
        <f>SUM(B34:M34)</f>
        <v>16042433.640000001</v>
      </c>
      <c r="P34" s="45">
        <f>O34+59810968</f>
        <v>75853401.640000001</v>
      </c>
    </row>
    <row r="35" spans="1:16" ht="18" x14ac:dyDescent="0.25">
      <c r="A35" s="44" t="s">
        <v>102</v>
      </c>
      <c r="B35" s="45">
        <v>160854.83999999997</v>
      </c>
      <c r="C35" s="45">
        <v>186734.28999999998</v>
      </c>
      <c r="D35" s="45">
        <v>140224.71</v>
      </c>
      <c r="E35" s="45">
        <v>186891.95999999996</v>
      </c>
      <c r="F35" s="45">
        <v>163839.59999999998</v>
      </c>
      <c r="G35" s="45">
        <v>171495.6</v>
      </c>
      <c r="H35" s="45">
        <v>158748.35999999999</v>
      </c>
      <c r="I35" s="45">
        <v>159202.68</v>
      </c>
      <c r="J35" s="45">
        <v>155921.28</v>
      </c>
      <c r="K35" s="45">
        <v>138905.88</v>
      </c>
      <c r="L35" s="45">
        <v>162613.47</v>
      </c>
      <c r="M35" s="45">
        <v>139659.36000000002</v>
      </c>
      <c r="O35" s="45">
        <f>SUM(B35:M35)</f>
        <v>1925092.0299999998</v>
      </c>
      <c r="P35" s="45">
        <f>O35+7728962</f>
        <v>9654054.0299999993</v>
      </c>
    </row>
    <row r="36" spans="1:16" x14ac:dyDescent="0.25">
      <c r="A36" s="44" t="s">
        <v>88</v>
      </c>
      <c r="B36" s="45">
        <v>26809.14</v>
      </c>
      <c r="C36" s="45">
        <v>31122.379999999997</v>
      </c>
      <c r="D36" s="45">
        <v>23370.79</v>
      </c>
      <c r="E36" s="45">
        <v>31148.66</v>
      </c>
      <c r="F36" s="45">
        <v>27306.6</v>
      </c>
      <c r="G36" s="45">
        <v>28582.600000000002</v>
      </c>
      <c r="H36" s="45">
        <v>26458.059999999998</v>
      </c>
      <c r="I36" s="45">
        <v>26533.78</v>
      </c>
      <c r="J36" s="45">
        <v>25986.880000000005</v>
      </c>
      <c r="K36" s="45">
        <v>23150.980000000003</v>
      </c>
      <c r="L36" s="45">
        <v>27102.25</v>
      </c>
      <c r="M36" s="45">
        <v>23276.560000000001</v>
      </c>
      <c r="O36" s="45">
        <f>SUM(B36:M36)</f>
        <v>320848.68</v>
      </c>
      <c r="P36" s="45">
        <f>O36+1196219</f>
        <v>1517067.68</v>
      </c>
    </row>
    <row r="37" spans="1:16" ht="18" x14ac:dyDescent="0.25">
      <c r="A37" s="40" t="s">
        <v>104</v>
      </c>
      <c r="B37" s="41">
        <v>103</v>
      </c>
      <c r="C37" s="41">
        <v>103</v>
      </c>
      <c r="D37" s="41">
        <v>103</v>
      </c>
      <c r="E37" s="41">
        <v>103</v>
      </c>
      <c r="F37" s="41">
        <v>103</v>
      </c>
      <c r="G37" s="41">
        <v>103</v>
      </c>
      <c r="H37" s="41">
        <v>103</v>
      </c>
      <c r="I37" s="41">
        <v>103</v>
      </c>
      <c r="J37" s="41">
        <v>103</v>
      </c>
      <c r="K37" s="41">
        <v>103</v>
      </c>
      <c r="L37" s="41">
        <v>103.6</v>
      </c>
      <c r="M37" s="41">
        <v>112.2</v>
      </c>
      <c r="N37" s="52"/>
      <c r="O37" s="41"/>
      <c r="P37" s="41"/>
    </row>
    <row r="38" spans="1:16" x14ac:dyDescent="0.25">
      <c r="A38" s="44" t="s">
        <v>97</v>
      </c>
      <c r="B38" s="45">
        <v>8849773</v>
      </c>
      <c r="C38" s="45">
        <v>10260928.859999999</v>
      </c>
      <c r="D38" s="45">
        <v>9203015.8599999994</v>
      </c>
      <c r="E38" s="45">
        <v>9330741.8000000007</v>
      </c>
      <c r="F38" s="45">
        <v>9223698.5500000007</v>
      </c>
      <c r="G38" s="45">
        <v>9755002.4100000001</v>
      </c>
      <c r="H38" s="45">
        <v>9162592.4000000004</v>
      </c>
      <c r="I38" s="45">
        <v>10013445.85</v>
      </c>
      <c r="J38" s="45">
        <v>10316025.01</v>
      </c>
      <c r="K38" s="45">
        <v>10110409.6</v>
      </c>
      <c r="L38" s="45">
        <v>9457642.5599999987</v>
      </c>
      <c r="M38" s="45">
        <v>10994972.560000001</v>
      </c>
      <c r="N38" s="46"/>
      <c r="O38" s="45">
        <f t="shared" ref="O38:O44" si="1">SUM(B38:M38)</f>
        <v>116678248.45999999</v>
      </c>
      <c r="P38" s="45">
        <f>O38+366036972</f>
        <v>482715220.45999998</v>
      </c>
    </row>
    <row r="39" spans="1:16" ht="18" x14ac:dyDescent="0.25">
      <c r="A39" s="44" t="s">
        <v>102</v>
      </c>
      <c r="B39" s="45">
        <v>1061972.76</v>
      </c>
      <c r="C39" s="45">
        <v>1231311.47</v>
      </c>
      <c r="D39" s="45">
        <v>1104361.8999999999</v>
      </c>
      <c r="E39" s="45">
        <v>1119689.02</v>
      </c>
      <c r="F39" s="45">
        <v>1106843.83</v>
      </c>
      <c r="G39" s="45">
        <v>1170600.29</v>
      </c>
      <c r="H39" s="45">
        <v>1099511.0900000001</v>
      </c>
      <c r="I39" s="45">
        <v>1201613.5</v>
      </c>
      <c r="J39" s="45">
        <v>1237923</v>
      </c>
      <c r="K39" s="45">
        <v>1213249.1499999999</v>
      </c>
      <c r="L39" s="45">
        <v>1134917.1099999999</v>
      </c>
      <c r="M39" s="45">
        <v>1319396.7100000002</v>
      </c>
      <c r="N39" s="47"/>
      <c r="O39" s="45">
        <f t="shared" si="1"/>
        <v>14001389.83</v>
      </c>
      <c r="P39" s="45">
        <f>O39+47406039</f>
        <v>61407428.829999998</v>
      </c>
    </row>
    <row r="40" spans="1:16" x14ac:dyDescent="0.25">
      <c r="A40" s="44" t="s">
        <v>88</v>
      </c>
      <c r="B40" s="45">
        <v>176995.47</v>
      </c>
      <c r="C40" s="45">
        <v>205218.58</v>
      </c>
      <c r="D40" s="45">
        <v>184060.33000000002</v>
      </c>
      <c r="E40" s="45">
        <v>186614.84999999998</v>
      </c>
      <c r="F40" s="45">
        <v>184473.97999999998</v>
      </c>
      <c r="G40" s="45">
        <v>195100.06</v>
      </c>
      <c r="H40" s="45">
        <v>183251.84999999998</v>
      </c>
      <c r="I40" s="45">
        <v>200268.91999999998</v>
      </c>
      <c r="J40" s="45">
        <v>206320.50999999998</v>
      </c>
      <c r="K40" s="45">
        <v>202208.19999999995</v>
      </c>
      <c r="L40" s="45">
        <v>189152.86</v>
      </c>
      <c r="M40" s="45">
        <v>219899.47</v>
      </c>
      <c r="N40" s="47"/>
      <c r="O40" s="45">
        <f t="shared" si="1"/>
        <v>2333565.08</v>
      </c>
      <c r="P40" s="45">
        <f>O40+7320740</f>
        <v>9654305.0800000001</v>
      </c>
    </row>
    <row r="41" spans="1:16" ht="18" x14ac:dyDescent="0.25">
      <c r="A41" s="40" t="s">
        <v>105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39"/>
      <c r="O41" s="41"/>
      <c r="P41" s="41"/>
    </row>
    <row r="42" spans="1:16" x14ac:dyDescent="0.25">
      <c r="A42" s="44" t="s">
        <v>97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8"/>
      <c r="O42" s="45">
        <f t="shared" si="1"/>
        <v>0</v>
      </c>
      <c r="P42" s="45">
        <f>O42+5888459</f>
        <v>5888459</v>
      </c>
    </row>
    <row r="43" spans="1:16" ht="18" x14ac:dyDescent="0.25">
      <c r="A43" s="44" t="s">
        <v>102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39"/>
      <c r="O43" s="45">
        <f t="shared" si="1"/>
        <v>0</v>
      </c>
      <c r="P43" s="45">
        <f>O43+824384</f>
        <v>824384</v>
      </c>
    </row>
    <row r="44" spans="1:16" x14ac:dyDescent="0.25">
      <c r="A44" s="44" t="s">
        <v>88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8"/>
      <c r="O44" s="45">
        <f t="shared" si="1"/>
        <v>0</v>
      </c>
      <c r="P44" s="45">
        <f>O44+117769</f>
        <v>117769</v>
      </c>
    </row>
    <row r="45" spans="1:16" ht="18" x14ac:dyDescent="0.25">
      <c r="A45" s="40" t="s">
        <v>106</v>
      </c>
      <c r="B45" s="41">
        <v>5</v>
      </c>
      <c r="C45" s="41">
        <v>5</v>
      </c>
      <c r="D45" s="41">
        <v>5</v>
      </c>
      <c r="E45" s="41">
        <v>5</v>
      </c>
      <c r="F45" s="41">
        <v>5</v>
      </c>
      <c r="G45" s="41">
        <v>5</v>
      </c>
      <c r="H45" s="41">
        <v>5</v>
      </c>
      <c r="I45" s="41">
        <v>5</v>
      </c>
      <c r="J45" s="41">
        <v>5</v>
      </c>
      <c r="K45" s="41">
        <v>5</v>
      </c>
      <c r="L45" s="41">
        <v>5</v>
      </c>
      <c r="M45" s="41">
        <v>5</v>
      </c>
      <c r="N45" s="39"/>
      <c r="O45" s="41"/>
      <c r="P45" s="41"/>
    </row>
    <row r="46" spans="1:16" x14ac:dyDescent="0.25">
      <c r="A46" s="44" t="s">
        <v>97</v>
      </c>
      <c r="B46" s="45">
        <v>371351.5</v>
      </c>
      <c r="C46" s="45">
        <v>372442.5</v>
      </c>
      <c r="D46" s="45">
        <v>283555.5</v>
      </c>
      <c r="E46" s="45">
        <v>303133.5</v>
      </c>
      <c r="F46" s="45">
        <v>377384</v>
      </c>
      <c r="G46" s="45">
        <v>412970</v>
      </c>
      <c r="H46" s="45">
        <v>341308.5</v>
      </c>
      <c r="I46" s="45">
        <v>356550.5</v>
      </c>
      <c r="J46" s="45">
        <v>435805.5</v>
      </c>
      <c r="K46" s="45">
        <v>282206</v>
      </c>
      <c r="L46" s="45">
        <v>404744.5</v>
      </c>
      <c r="M46" s="45">
        <v>356105</v>
      </c>
      <c r="N46" s="49"/>
      <c r="O46" s="45">
        <f>SUM(B46:M46)</f>
        <v>4297557</v>
      </c>
      <c r="P46" s="45">
        <f>O46+9123692</f>
        <v>13421249</v>
      </c>
    </row>
    <row r="47" spans="1:16" ht="18" x14ac:dyDescent="0.25">
      <c r="A47" s="44" t="s">
        <v>102</v>
      </c>
      <c r="B47" s="45">
        <v>170821.69</v>
      </c>
      <c r="C47" s="45">
        <v>171323.55</v>
      </c>
      <c r="D47" s="45">
        <v>130435.53</v>
      </c>
      <c r="E47" s="45">
        <v>139441.41</v>
      </c>
      <c r="F47" s="45">
        <v>173596.64</v>
      </c>
      <c r="G47" s="45">
        <v>189966.2</v>
      </c>
      <c r="H47" s="45">
        <v>157001.91</v>
      </c>
      <c r="I47" s="45">
        <v>164013.23000000001</v>
      </c>
      <c r="J47" s="45">
        <v>200470.52999999997</v>
      </c>
      <c r="K47" s="45">
        <v>129814.76</v>
      </c>
      <c r="L47" s="45">
        <v>186182.47</v>
      </c>
      <c r="M47" s="45">
        <v>163808.29999999999</v>
      </c>
      <c r="N47" s="39"/>
      <c r="O47" s="45">
        <f>SUM(B47:M47)</f>
        <v>1976876.22</v>
      </c>
      <c r="P47" s="45">
        <f>O47+4265952</f>
        <v>6242828.2199999997</v>
      </c>
    </row>
    <row r="48" spans="1:16" x14ac:dyDescent="0.25">
      <c r="A48" s="44" t="s">
        <v>88</v>
      </c>
      <c r="B48" s="45">
        <v>7427.0300000000007</v>
      </c>
      <c r="C48" s="45">
        <v>7448.85</v>
      </c>
      <c r="D48" s="45">
        <v>5671.1100000000006</v>
      </c>
      <c r="E48" s="45">
        <v>6062.67</v>
      </c>
      <c r="F48" s="45">
        <v>7547.68</v>
      </c>
      <c r="G48" s="45">
        <v>8259.4</v>
      </c>
      <c r="H48" s="45">
        <v>6826.17</v>
      </c>
      <c r="I48" s="45">
        <v>7131.01</v>
      </c>
      <c r="J48" s="45">
        <v>8716.11</v>
      </c>
      <c r="K48" s="45">
        <v>5644.12</v>
      </c>
      <c r="L48" s="45">
        <v>8094.8899999999994</v>
      </c>
      <c r="M48" s="45">
        <v>7122.1</v>
      </c>
      <c r="N48" s="47"/>
      <c r="O48" s="45">
        <f>SUM(B48:M48)</f>
        <v>85951.140000000014</v>
      </c>
      <c r="P48" s="45">
        <f>O48+182474</f>
        <v>268425.14</v>
      </c>
    </row>
    <row r="49" spans="1:16" x14ac:dyDescent="0.25">
      <c r="B49" s="45"/>
      <c r="C49" s="45"/>
      <c r="D49" s="45"/>
      <c r="E49" s="45"/>
      <c r="F49" s="45"/>
      <c r="G49" s="45"/>
      <c r="I49" s="45"/>
      <c r="J49" s="45"/>
      <c r="K49" s="45"/>
      <c r="L49" s="45"/>
      <c r="M49" s="45"/>
      <c r="N49" s="39"/>
      <c r="O49" s="45"/>
      <c r="P49" s="45"/>
    </row>
    <row r="50" spans="1:16" x14ac:dyDescent="0.25">
      <c r="A50" s="53" t="s">
        <v>113</v>
      </c>
      <c r="B50" s="45"/>
      <c r="C50" s="45"/>
      <c r="D50" s="45"/>
      <c r="E50" s="45"/>
      <c r="F50" s="45"/>
      <c r="G50" s="45"/>
      <c r="I50" s="45"/>
      <c r="J50" s="45"/>
      <c r="K50" s="45"/>
      <c r="L50" s="45"/>
      <c r="M50" s="45"/>
      <c r="N50" s="47"/>
      <c r="O50" s="45"/>
      <c r="P50" s="45"/>
    </row>
    <row r="51" spans="1:16" x14ac:dyDescent="0.25">
      <c r="A51" s="40" t="s">
        <v>87</v>
      </c>
      <c r="B51" s="41">
        <v>126</v>
      </c>
      <c r="C51" s="41">
        <v>126</v>
      </c>
      <c r="D51" s="41">
        <v>122</v>
      </c>
      <c r="E51" s="41">
        <v>122</v>
      </c>
      <c r="F51" s="41">
        <v>122</v>
      </c>
      <c r="G51" s="41">
        <v>119.6</v>
      </c>
      <c r="H51" s="41">
        <v>119</v>
      </c>
      <c r="I51" s="41">
        <v>119</v>
      </c>
      <c r="J51" s="41">
        <v>119</v>
      </c>
      <c r="K51" s="41">
        <v>119</v>
      </c>
      <c r="L51" s="41">
        <v>119</v>
      </c>
      <c r="M51" s="41">
        <v>117.8</v>
      </c>
      <c r="N51" s="49"/>
      <c r="O51" s="41"/>
      <c r="P51" s="41"/>
    </row>
    <row r="52" spans="1:16" x14ac:dyDescent="0.25">
      <c r="A52" s="44" t="s">
        <v>97</v>
      </c>
      <c r="B52" s="45">
        <v>5879946.5199999996</v>
      </c>
      <c r="C52" s="45">
        <v>6013370.7599999998</v>
      </c>
      <c r="D52" s="45">
        <v>5031233.5</v>
      </c>
      <c r="E52" s="45">
        <v>4881704</v>
      </c>
      <c r="F52" s="45">
        <v>5253419.75</v>
      </c>
      <c r="G52" s="45">
        <v>4979712.3499999996</v>
      </c>
      <c r="H52" s="45">
        <v>6069525.5999999996</v>
      </c>
      <c r="I52" s="45">
        <v>6128517.75</v>
      </c>
      <c r="J52" s="45">
        <v>5773277.25</v>
      </c>
      <c r="K52" s="45">
        <v>5550496.4800000004</v>
      </c>
      <c r="L52" s="45">
        <v>4957928.75</v>
      </c>
      <c r="M52" s="45">
        <v>5266922</v>
      </c>
      <c r="O52" s="45">
        <f>SUM(B52:M52)</f>
        <v>65786054.710000008</v>
      </c>
      <c r="P52" s="45">
        <f>O52+306236398</f>
        <v>372022452.71000004</v>
      </c>
    </row>
    <row r="53" spans="1:16" ht="18" x14ac:dyDescent="0.25">
      <c r="A53" s="44" t="s">
        <v>102</v>
      </c>
      <c r="B53" s="45">
        <v>763277.98</v>
      </c>
      <c r="C53" s="45">
        <v>790179.09000000008</v>
      </c>
      <c r="D53" s="45">
        <v>653562.27</v>
      </c>
      <c r="E53" s="45">
        <v>647414.17999999993</v>
      </c>
      <c r="F53" s="45">
        <v>669624.27</v>
      </c>
      <c r="G53" s="45">
        <v>666151.13</v>
      </c>
      <c r="H53" s="45">
        <v>776172.57000000007</v>
      </c>
      <c r="I53" s="45">
        <v>804887.53</v>
      </c>
      <c r="J53" s="45">
        <v>770341.32000000007</v>
      </c>
      <c r="K53" s="45">
        <v>710454.22</v>
      </c>
      <c r="L53" s="45">
        <v>629923.00000000012</v>
      </c>
      <c r="M53" s="45">
        <v>674381.89</v>
      </c>
      <c r="N53" s="52"/>
      <c r="O53" s="45">
        <f>SUM(B53:M53)</f>
        <v>8556369.4499999993</v>
      </c>
      <c r="P53" s="45">
        <f>O53+41157666</f>
        <v>49714035.450000003</v>
      </c>
    </row>
    <row r="54" spans="1:16" x14ac:dyDescent="0.25">
      <c r="A54" s="44" t="s">
        <v>88</v>
      </c>
      <c r="B54" s="45">
        <v>117598.94</v>
      </c>
      <c r="C54" s="45">
        <v>120267.42</v>
      </c>
      <c r="D54" s="45">
        <v>100624.68999999999</v>
      </c>
      <c r="E54" s="45">
        <v>97634.09</v>
      </c>
      <c r="F54" s="45">
        <v>105068.41</v>
      </c>
      <c r="G54" s="45">
        <v>99594.25</v>
      </c>
      <c r="H54" s="45">
        <v>121390.51999999999</v>
      </c>
      <c r="I54" s="45">
        <v>122570.37</v>
      </c>
      <c r="J54" s="45">
        <v>115465.57</v>
      </c>
      <c r="K54" s="45">
        <v>111009.94000000002</v>
      </c>
      <c r="L54" s="45">
        <v>99158.580000000016</v>
      </c>
      <c r="M54" s="45">
        <v>105338.44999999998</v>
      </c>
      <c r="N54" s="46"/>
      <c r="O54" s="45">
        <f>SUM(B54:M54)</f>
        <v>1315721.23</v>
      </c>
      <c r="P54" s="45">
        <f>O54+6124728</f>
        <v>7440449.2300000004</v>
      </c>
    </row>
    <row r="55" spans="1:16" ht="18" x14ac:dyDescent="0.25">
      <c r="A55" s="40" t="s">
        <v>103</v>
      </c>
      <c r="B55" s="41">
        <v>35</v>
      </c>
      <c r="C55" s="41">
        <v>35</v>
      </c>
      <c r="D55" s="41">
        <v>31</v>
      </c>
      <c r="E55" s="41">
        <v>31</v>
      </c>
      <c r="F55" s="41">
        <v>31</v>
      </c>
      <c r="G55" s="41">
        <v>31</v>
      </c>
      <c r="H55" s="41">
        <v>31</v>
      </c>
      <c r="I55" s="41">
        <v>31</v>
      </c>
      <c r="J55" s="41">
        <v>31</v>
      </c>
      <c r="K55" s="41">
        <v>31</v>
      </c>
      <c r="L55" s="41">
        <v>31</v>
      </c>
      <c r="M55" s="41">
        <v>29.8</v>
      </c>
      <c r="N55" s="47"/>
      <c r="O55" s="41"/>
      <c r="P55" s="41"/>
    </row>
    <row r="56" spans="1:16" x14ac:dyDescent="0.25">
      <c r="A56" s="44" t="s">
        <v>97</v>
      </c>
      <c r="B56" s="45">
        <v>644722</v>
      </c>
      <c r="C56" s="45">
        <v>706930</v>
      </c>
      <c r="D56" s="45">
        <v>632628</v>
      </c>
      <c r="E56" s="45">
        <v>645731</v>
      </c>
      <c r="F56" s="45">
        <v>505460</v>
      </c>
      <c r="G56" s="45">
        <v>482300</v>
      </c>
      <c r="H56" s="45">
        <v>529387</v>
      </c>
      <c r="I56" s="45">
        <v>527532</v>
      </c>
      <c r="J56" s="45">
        <v>603489</v>
      </c>
      <c r="K56" s="45">
        <v>565258</v>
      </c>
      <c r="L56" s="45">
        <v>583944</v>
      </c>
      <c r="M56" s="45">
        <v>587746</v>
      </c>
      <c r="N56" s="47"/>
      <c r="O56" s="45">
        <f>SUM(B56:M56)</f>
        <v>7015127</v>
      </c>
      <c r="P56" s="45">
        <f>O56+38792816</f>
        <v>45807943</v>
      </c>
    </row>
    <row r="57" spans="1:16" ht="18" x14ac:dyDescent="0.25">
      <c r="A57" s="44" t="s">
        <v>102</v>
      </c>
      <c r="B57" s="45">
        <v>77366.64</v>
      </c>
      <c r="C57" s="45">
        <v>84831.599999999991</v>
      </c>
      <c r="D57" s="45">
        <v>75915.360000000015</v>
      </c>
      <c r="E57" s="45">
        <v>77487.72</v>
      </c>
      <c r="F57" s="45">
        <v>60655.199999999997</v>
      </c>
      <c r="G57" s="45">
        <v>57876</v>
      </c>
      <c r="H57" s="45">
        <v>63526.439999999995</v>
      </c>
      <c r="I57" s="45">
        <v>63303.840000000004</v>
      </c>
      <c r="J57" s="45">
        <v>72418.679999999993</v>
      </c>
      <c r="K57" s="45">
        <v>67830.959999999992</v>
      </c>
      <c r="L57" s="45">
        <v>70073.279999999999</v>
      </c>
      <c r="M57" s="45">
        <v>70529.52</v>
      </c>
      <c r="N57" s="39"/>
      <c r="O57" s="45">
        <f>SUM(B57:M57)</f>
        <v>841815.24</v>
      </c>
      <c r="P57" s="45">
        <f>O57+5052147</f>
        <v>5893962.2400000002</v>
      </c>
    </row>
    <row r="58" spans="1:16" x14ac:dyDescent="0.25">
      <c r="A58" s="44" t="s">
        <v>88</v>
      </c>
      <c r="B58" s="45">
        <v>12894.439999999999</v>
      </c>
      <c r="C58" s="45">
        <v>14138.6</v>
      </c>
      <c r="D58" s="45">
        <v>12652.56</v>
      </c>
      <c r="E58" s="45">
        <v>12914.619999999999</v>
      </c>
      <c r="F58" s="45">
        <v>10109.200000000001</v>
      </c>
      <c r="G58" s="45">
        <v>9646</v>
      </c>
      <c r="H58" s="45">
        <v>10587.739999999998</v>
      </c>
      <c r="I58" s="45">
        <v>10550.64</v>
      </c>
      <c r="J58" s="45">
        <v>12069.779999999999</v>
      </c>
      <c r="K58" s="45">
        <v>11305.159999999998</v>
      </c>
      <c r="L58" s="45">
        <v>11678.88</v>
      </c>
      <c r="M58" s="45">
        <v>11754.92</v>
      </c>
      <c r="N58" s="48"/>
      <c r="O58" s="45">
        <f>SUM(B58:M58)</f>
        <v>140302.54</v>
      </c>
      <c r="P58" s="45">
        <f>O58+775856</f>
        <v>916158.54</v>
      </c>
    </row>
    <row r="59" spans="1:16" ht="18" x14ac:dyDescent="0.25">
      <c r="A59" s="40" t="s">
        <v>104</v>
      </c>
      <c r="B59" s="41">
        <v>87</v>
      </c>
      <c r="C59" s="41">
        <v>87</v>
      </c>
      <c r="D59" s="41">
        <v>87</v>
      </c>
      <c r="E59" s="41">
        <v>87</v>
      </c>
      <c r="F59" s="41">
        <v>87</v>
      </c>
      <c r="G59" s="41">
        <v>84.6</v>
      </c>
      <c r="H59" s="41">
        <v>84</v>
      </c>
      <c r="I59" s="41">
        <v>84</v>
      </c>
      <c r="J59" s="41">
        <v>84</v>
      </c>
      <c r="K59" s="41">
        <v>84</v>
      </c>
      <c r="L59" s="41">
        <v>84</v>
      </c>
      <c r="M59" s="41">
        <v>84</v>
      </c>
      <c r="N59" s="39"/>
      <c r="O59" s="41"/>
      <c r="P59" s="41"/>
    </row>
    <row r="60" spans="1:16" x14ac:dyDescent="0.25">
      <c r="A60" s="44" t="s">
        <v>97</v>
      </c>
      <c r="B60" s="45">
        <v>5065564.5199999996</v>
      </c>
      <c r="C60" s="45">
        <v>5104750.76</v>
      </c>
      <c r="D60" s="45">
        <v>4252093</v>
      </c>
      <c r="E60" s="45">
        <v>4054768</v>
      </c>
      <c r="F60" s="45">
        <v>4632624.75</v>
      </c>
      <c r="G60" s="45">
        <v>4295689.8499999996</v>
      </c>
      <c r="H60" s="45">
        <v>5399463.5999999996</v>
      </c>
      <c r="I60" s="45">
        <v>5396675.75</v>
      </c>
      <c r="J60" s="45">
        <v>4941705.75</v>
      </c>
      <c r="K60" s="45">
        <v>4854665.9800000004</v>
      </c>
      <c r="L60" s="45">
        <v>4271127.25</v>
      </c>
      <c r="M60" s="45">
        <v>4554613.5</v>
      </c>
      <c r="N60" s="48"/>
      <c r="O60" s="45">
        <f t="shared" ref="O60:O66" si="2">SUM(B60:M60)</f>
        <v>56823742.710000008</v>
      </c>
      <c r="P60" s="45">
        <f>O60+263594822</f>
        <v>320418564.71000004</v>
      </c>
    </row>
    <row r="61" spans="1:16" ht="18" x14ac:dyDescent="0.25">
      <c r="A61" s="44" t="s">
        <v>102</v>
      </c>
      <c r="B61" s="45">
        <v>607867.73999999987</v>
      </c>
      <c r="C61" s="45">
        <v>612570.09</v>
      </c>
      <c r="D61" s="45">
        <v>510251.16</v>
      </c>
      <c r="E61" s="45">
        <v>486572.16</v>
      </c>
      <c r="F61" s="45">
        <v>555914.97</v>
      </c>
      <c r="G61" s="45">
        <v>515482.78</v>
      </c>
      <c r="H61" s="45">
        <v>647935.63000000012</v>
      </c>
      <c r="I61" s="45">
        <v>647601.09000000008</v>
      </c>
      <c r="J61" s="45">
        <v>593004.68999999994</v>
      </c>
      <c r="K61" s="45">
        <v>582559.91</v>
      </c>
      <c r="L61" s="45">
        <v>512535.27</v>
      </c>
      <c r="M61" s="45">
        <v>546553.62</v>
      </c>
      <c r="N61" s="39"/>
      <c r="O61" s="45">
        <f t="shared" si="2"/>
        <v>6818849.1100000003</v>
      </c>
      <c r="P61" s="45">
        <f>O61+34320403</f>
        <v>41139252.109999999</v>
      </c>
    </row>
    <row r="62" spans="1:16" x14ac:dyDescent="0.25">
      <c r="A62" s="44" t="s">
        <v>88</v>
      </c>
      <c r="B62" s="45">
        <v>101311.29999999999</v>
      </c>
      <c r="C62" s="45">
        <v>102095.02</v>
      </c>
      <c r="D62" s="45">
        <v>85041.88</v>
      </c>
      <c r="E62" s="45">
        <v>81095.37</v>
      </c>
      <c r="F62" s="45">
        <v>92652.510000000009</v>
      </c>
      <c r="G62" s="45">
        <v>85913.799999999988</v>
      </c>
      <c r="H62" s="45">
        <v>107989.28000000001</v>
      </c>
      <c r="I62" s="45">
        <v>107933.53</v>
      </c>
      <c r="J62" s="45">
        <v>98834.14</v>
      </c>
      <c r="K62" s="45">
        <v>97093.33</v>
      </c>
      <c r="L62" s="45">
        <v>85422.55</v>
      </c>
      <c r="M62" s="45">
        <v>91092.28</v>
      </c>
      <c r="N62" s="49"/>
      <c r="O62" s="45">
        <f t="shared" si="2"/>
        <v>1136474.99</v>
      </c>
      <c r="P62" s="45">
        <f>O62+5271897</f>
        <v>6408371.9900000002</v>
      </c>
    </row>
    <row r="63" spans="1:16" ht="18" x14ac:dyDescent="0.25">
      <c r="A63" s="40" t="s">
        <v>105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39"/>
      <c r="O63" s="41"/>
      <c r="P63" s="41"/>
    </row>
    <row r="64" spans="1:16" x14ac:dyDescent="0.25">
      <c r="A64" s="44" t="s">
        <v>97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7"/>
      <c r="O64" s="45">
        <f t="shared" si="2"/>
        <v>0</v>
      </c>
      <c r="P64" s="45">
        <f>O64</f>
        <v>0</v>
      </c>
    </row>
    <row r="65" spans="1:19" ht="18" x14ac:dyDescent="0.25">
      <c r="A65" s="44" t="s">
        <v>102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54"/>
      <c r="O65" s="45">
        <f t="shared" si="2"/>
        <v>0</v>
      </c>
      <c r="P65" s="45">
        <f>O65</f>
        <v>0</v>
      </c>
    </row>
    <row r="66" spans="1:19" x14ac:dyDescent="0.25">
      <c r="A66" s="44" t="s">
        <v>88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8"/>
      <c r="O66" s="45">
        <f t="shared" si="2"/>
        <v>0</v>
      </c>
      <c r="P66" s="45">
        <f>O66</f>
        <v>0</v>
      </c>
    </row>
    <row r="67" spans="1:19" ht="18" x14ac:dyDescent="0.25">
      <c r="A67" s="40" t="s">
        <v>106</v>
      </c>
      <c r="B67" s="41">
        <v>4</v>
      </c>
      <c r="C67" s="41">
        <v>4</v>
      </c>
      <c r="D67" s="41">
        <v>4</v>
      </c>
      <c r="E67" s="41">
        <v>4</v>
      </c>
      <c r="F67" s="41">
        <v>4</v>
      </c>
      <c r="G67" s="41">
        <v>4</v>
      </c>
      <c r="H67" s="41">
        <v>4</v>
      </c>
      <c r="I67" s="41">
        <v>4</v>
      </c>
      <c r="J67" s="41">
        <v>4</v>
      </c>
      <c r="K67" s="41">
        <v>4</v>
      </c>
      <c r="L67" s="41">
        <v>4</v>
      </c>
      <c r="M67" s="41">
        <v>4</v>
      </c>
      <c r="N67" s="52"/>
      <c r="O67" s="41"/>
      <c r="P67" s="41"/>
    </row>
    <row r="68" spans="1:19" x14ac:dyDescent="0.25">
      <c r="A68" s="44" t="s">
        <v>97</v>
      </c>
      <c r="B68" s="45">
        <v>169660</v>
      </c>
      <c r="C68" s="45">
        <v>201690</v>
      </c>
      <c r="D68" s="45">
        <v>146512.5</v>
      </c>
      <c r="E68" s="45">
        <v>181205</v>
      </c>
      <c r="F68" s="45">
        <v>115335</v>
      </c>
      <c r="G68" s="45">
        <v>201722.5</v>
      </c>
      <c r="H68" s="45">
        <v>140675</v>
      </c>
      <c r="I68" s="45">
        <v>204310</v>
      </c>
      <c r="J68" s="45">
        <v>228082.5</v>
      </c>
      <c r="K68" s="45">
        <v>130572.5</v>
      </c>
      <c r="L68" s="45">
        <v>102857.5</v>
      </c>
      <c r="M68" s="45">
        <v>124562.5</v>
      </c>
      <c r="N68" s="46"/>
      <c r="O68" s="45">
        <f>SUM(B68:M68)</f>
        <v>1947185</v>
      </c>
      <c r="P68" s="45">
        <f>O68+3848760</f>
        <v>5795945</v>
      </c>
    </row>
    <row r="69" spans="1:19" ht="18" x14ac:dyDescent="0.25">
      <c r="A69" s="44" t="s">
        <v>102</v>
      </c>
      <c r="B69" s="45">
        <v>78043.599999999991</v>
      </c>
      <c r="C69" s="45">
        <v>92777.4</v>
      </c>
      <c r="D69" s="45">
        <v>67395.75</v>
      </c>
      <c r="E69" s="45">
        <v>83354.3</v>
      </c>
      <c r="F69" s="45">
        <v>53054.1</v>
      </c>
      <c r="G69" s="45">
        <v>92792.349999999991</v>
      </c>
      <c r="H69" s="45">
        <v>64710.499999999993</v>
      </c>
      <c r="I69" s="45">
        <v>93982.6</v>
      </c>
      <c r="J69" s="45">
        <v>104917.94999999998</v>
      </c>
      <c r="K69" s="45">
        <v>60063.350000000006</v>
      </c>
      <c r="L69" s="45">
        <v>47314.45</v>
      </c>
      <c r="M69" s="45">
        <v>57298.75</v>
      </c>
      <c r="N69" s="47"/>
      <c r="O69" s="45">
        <f>SUM(B69:M69)</f>
        <v>895705.09999999974</v>
      </c>
      <c r="P69" s="45">
        <f>O69+1785115</f>
        <v>2680820.0999999996</v>
      </c>
    </row>
    <row r="70" spans="1:19" x14ac:dyDescent="0.25">
      <c r="A70" s="44" t="s">
        <v>88</v>
      </c>
      <c r="B70" s="45">
        <v>3393.2</v>
      </c>
      <c r="C70" s="45">
        <v>4033.8</v>
      </c>
      <c r="D70" s="45">
        <v>2930.2499999999995</v>
      </c>
      <c r="E70" s="45">
        <v>3624.1</v>
      </c>
      <c r="F70" s="45">
        <v>2306.7000000000003</v>
      </c>
      <c r="G70" s="45">
        <v>4034.4500000000003</v>
      </c>
      <c r="H70" s="45">
        <v>2813.5000000000005</v>
      </c>
      <c r="I70" s="45">
        <v>4086.2</v>
      </c>
      <c r="J70" s="45">
        <v>4561.6499999999996</v>
      </c>
      <c r="K70" s="45">
        <v>2611.4500000000003</v>
      </c>
      <c r="L70" s="45">
        <v>2057.15</v>
      </c>
      <c r="M70" s="45">
        <v>2491.25</v>
      </c>
      <c r="N70" s="47"/>
      <c r="O70" s="45">
        <f>SUM(B70:M70)</f>
        <v>38943.699999999997</v>
      </c>
      <c r="P70" s="45">
        <f>O70+76975</f>
        <v>115918.7</v>
      </c>
    </row>
    <row r="71" spans="1:19" x14ac:dyDescent="0.25">
      <c r="B71" s="45"/>
      <c r="C71" s="45"/>
      <c r="D71" s="45"/>
      <c r="E71" s="45"/>
      <c r="F71" s="45"/>
      <c r="G71" s="45"/>
      <c r="I71" s="45"/>
      <c r="J71" s="45"/>
      <c r="K71" s="45"/>
      <c r="L71" s="45"/>
      <c r="M71" s="45"/>
      <c r="N71" s="47"/>
      <c r="O71" s="45"/>
      <c r="P71" s="45"/>
    </row>
    <row r="72" spans="1:19" x14ac:dyDescent="0.25">
      <c r="A72" s="53" t="s">
        <v>91</v>
      </c>
      <c r="B72" s="45"/>
      <c r="C72" s="45"/>
      <c r="D72" s="45"/>
      <c r="E72" s="45"/>
      <c r="F72" s="45"/>
      <c r="G72" s="45"/>
      <c r="I72" s="45"/>
      <c r="J72" s="45"/>
      <c r="K72" s="45"/>
      <c r="L72" s="45"/>
      <c r="M72" s="45"/>
      <c r="N72" s="47"/>
      <c r="O72" s="45"/>
      <c r="P72" s="45"/>
    </row>
    <row r="73" spans="1:19" x14ac:dyDescent="0.25">
      <c r="A73" s="40" t="s">
        <v>87</v>
      </c>
      <c r="B73" s="41">
        <v>46</v>
      </c>
      <c r="C73" s="41">
        <v>46</v>
      </c>
      <c r="D73" s="41">
        <v>46</v>
      </c>
      <c r="E73" s="41">
        <v>46</v>
      </c>
      <c r="F73" s="41">
        <v>46</v>
      </c>
      <c r="G73" s="41">
        <v>46.8</v>
      </c>
      <c r="H73" s="41">
        <v>46.6</v>
      </c>
      <c r="I73" s="41">
        <v>47</v>
      </c>
      <c r="J73" s="41">
        <v>46</v>
      </c>
      <c r="K73" s="41">
        <v>46</v>
      </c>
      <c r="L73" s="41">
        <v>46</v>
      </c>
      <c r="M73" s="41">
        <v>45.4</v>
      </c>
      <c r="N73" s="39"/>
      <c r="O73" s="41"/>
      <c r="P73" s="41"/>
    </row>
    <row r="74" spans="1:19" x14ac:dyDescent="0.25">
      <c r="A74" s="44" t="s">
        <v>97</v>
      </c>
      <c r="B74" s="45">
        <v>1220730.25</v>
      </c>
      <c r="C74" s="45">
        <v>1176652.25</v>
      </c>
      <c r="D74" s="45">
        <v>1042485.41</v>
      </c>
      <c r="E74" s="45">
        <v>1246394.8599999999</v>
      </c>
      <c r="F74" s="45">
        <v>1187975.75</v>
      </c>
      <c r="G74" s="45">
        <v>915987</v>
      </c>
      <c r="H74" s="45">
        <v>1009559.5</v>
      </c>
      <c r="I74" s="45">
        <v>1007945</v>
      </c>
      <c r="J74" s="45">
        <v>1418808.49</v>
      </c>
      <c r="K74" s="45">
        <v>1134367.23</v>
      </c>
      <c r="L74" s="45">
        <v>1179383.5</v>
      </c>
      <c r="M74" s="45">
        <v>1162820</v>
      </c>
      <c r="N74" s="48"/>
      <c r="O74" s="45">
        <f>SUM(B74:M74)</f>
        <v>13703109.24</v>
      </c>
      <c r="P74" s="45">
        <f>O74+68995695</f>
        <v>82698804.239999995</v>
      </c>
      <c r="R74" s="68"/>
      <c r="S74" s="68"/>
    </row>
    <row r="75" spans="1:19" ht="18" x14ac:dyDescent="0.25">
      <c r="A75" s="44" t="s">
        <v>102</v>
      </c>
      <c r="B75" s="45">
        <v>146487.63</v>
      </c>
      <c r="C75" s="45">
        <v>141198.27000000002</v>
      </c>
      <c r="D75" s="45">
        <v>125098.24000000001</v>
      </c>
      <c r="E75" s="45">
        <v>149567.37999999998</v>
      </c>
      <c r="F75" s="45">
        <v>142557.09</v>
      </c>
      <c r="G75" s="45">
        <v>109918.44000000002</v>
      </c>
      <c r="H75" s="45">
        <v>121147.13999999998</v>
      </c>
      <c r="I75" s="45">
        <v>128515.68</v>
      </c>
      <c r="J75" s="45">
        <v>186891.35</v>
      </c>
      <c r="K75" s="45">
        <v>161755.81999999998</v>
      </c>
      <c r="L75" s="45">
        <v>157517.57999999999</v>
      </c>
      <c r="M75" s="45">
        <v>162714.5</v>
      </c>
      <c r="N75" s="39"/>
      <c r="O75" s="45">
        <f>SUM(B75:M75)</f>
        <v>1733369.1200000003</v>
      </c>
      <c r="P75" s="45">
        <f>O75+9118034</f>
        <v>10851403.120000001</v>
      </c>
      <c r="R75" s="68"/>
      <c r="S75" s="68"/>
    </row>
    <row r="76" spans="1:19" x14ac:dyDescent="0.25">
      <c r="A76" s="44" t="s">
        <v>88</v>
      </c>
      <c r="B76" s="45">
        <v>24414.620000000003</v>
      </c>
      <c r="C76" s="45">
        <v>23533.05</v>
      </c>
      <c r="D76" s="45">
        <v>20849.719999999998</v>
      </c>
      <c r="E76" s="45">
        <v>24927.9</v>
      </c>
      <c r="F76" s="45">
        <v>23759.519999999997</v>
      </c>
      <c r="G76" s="45">
        <v>18319.75</v>
      </c>
      <c r="H76" s="45">
        <v>20191.2</v>
      </c>
      <c r="I76" s="45">
        <v>20158.910000000003</v>
      </c>
      <c r="J76" s="45">
        <v>28376.18</v>
      </c>
      <c r="K76" s="45">
        <v>22687.350000000006</v>
      </c>
      <c r="L76" s="45">
        <v>23587.69</v>
      </c>
      <c r="M76" s="45">
        <v>23256.42</v>
      </c>
      <c r="N76" s="48"/>
      <c r="O76" s="45">
        <f>SUM(B76:M76)</f>
        <v>274062.31</v>
      </c>
      <c r="P76" s="45">
        <f>O76+1379914</f>
        <v>1653976.31</v>
      </c>
      <c r="R76" s="68"/>
      <c r="S76" s="68"/>
    </row>
    <row r="77" spans="1:19" ht="18" x14ac:dyDescent="0.25">
      <c r="A77" s="40" t="s">
        <v>103</v>
      </c>
      <c r="B77" s="41">
        <v>9</v>
      </c>
      <c r="C77" s="41">
        <v>9</v>
      </c>
      <c r="D77" s="41">
        <v>9</v>
      </c>
      <c r="E77" s="41">
        <v>9</v>
      </c>
      <c r="F77" s="41">
        <v>9</v>
      </c>
      <c r="G77" s="41">
        <v>9</v>
      </c>
      <c r="H77" s="41">
        <v>9</v>
      </c>
      <c r="I77" s="41">
        <v>9</v>
      </c>
      <c r="J77" s="41">
        <v>9</v>
      </c>
      <c r="K77" s="41">
        <v>9</v>
      </c>
      <c r="L77" s="41">
        <v>9</v>
      </c>
      <c r="M77" s="41">
        <v>9</v>
      </c>
      <c r="N77" s="39"/>
      <c r="O77" s="41"/>
      <c r="P77" s="41"/>
      <c r="R77" s="68"/>
      <c r="S77" s="68"/>
    </row>
    <row r="78" spans="1:19" x14ac:dyDescent="0.25">
      <c r="A78" s="44" t="s">
        <v>97</v>
      </c>
      <c r="B78" s="45">
        <v>84516</v>
      </c>
      <c r="C78" s="45">
        <v>77648</v>
      </c>
      <c r="D78" s="45">
        <v>69017</v>
      </c>
      <c r="E78" s="45">
        <v>78426</v>
      </c>
      <c r="F78" s="45">
        <v>68179</v>
      </c>
      <c r="G78" s="45">
        <v>69763</v>
      </c>
      <c r="H78" s="45">
        <v>69788</v>
      </c>
      <c r="I78" s="45">
        <v>76284</v>
      </c>
      <c r="J78" s="45">
        <v>88191</v>
      </c>
      <c r="K78" s="45">
        <v>76600</v>
      </c>
      <c r="L78" s="45">
        <v>73578</v>
      </c>
      <c r="M78" s="45">
        <v>70836</v>
      </c>
      <c r="N78" s="49"/>
      <c r="O78" s="45">
        <f>SUM(B78:M78)</f>
        <v>902826</v>
      </c>
      <c r="P78" s="45">
        <f>O78+3842708</f>
        <v>4745534</v>
      </c>
      <c r="R78" s="68"/>
      <c r="S78" s="68"/>
    </row>
    <row r="79" spans="1:19" ht="18" x14ac:dyDescent="0.25">
      <c r="A79" s="44" t="s">
        <v>102</v>
      </c>
      <c r="B79" s="45">
        <v>10141.92</v>
      </c>
      <c r="C79" s="45">
        <v>9317.76</v>
      </c>
      <c r="D79" s="45">
        <v>8282.0400000000009</v>
      </c>
      <c r="E79" s="45">
        <v>9411.119999999999</v>
      </c>
      <c r="F79" s="45">
        <v>8181.4800000000014</v>
      </c>
      <c r="G79" s="45">
        <v>8371.56</v>
      </c>
      <c r="H79" s="45">
        <v>8374.56</v>
      </c>
      <c r="I79" s="45">
        <v>9154.08</v>
      </c>
      <c r="J79" s="45">
        <v>10582.920000000002</v>
      </c>
      <c r="K79" s="45">
        <v>9192</v>
      </c>
      <c r="L79" s="45">
        <v>8829.36</v>
      </c>
      <c r="M79" s="45">
        <v>8500.32</v>
      </c>
      <c r="N79" s="39"/>
      <c r="O79" s="45">
        <f>SUM(B79:M79)</f>
        <v>108339.12</v>
      </c>
      <c r="P79" s="45">
        <f>O79+491271</f>
        <v>599610.12</v>
      </c>
      <c r="R79" s="68"/>
      <c r="S79" s="68"/>
    </row>
    <row r="80" spans="1:19" x14ac:dyDescent="0.25">
      <c r="A80" s="44" t="s">
        <v>88</v>
      </c>
      <c r="B80" s="45">
        <v>1690.3200000000002</v>
      </c>
      <c r="C80" s="45">
        <v>1552.96</v>
      </c>
      <c r="D80" s="45">
        <v>1380.3400000000001</v>
      </c>
      <c r="E80" s="45">
        <v>1568.52</v>
      </c>
      <c r="F80" s="45">
        <v>1363.58</v>
      </c>
      <c r="G80" s="45">
        <v>1395.2600000000002</v>
      </c>
      <c r="H80" s="45">
        <v>1395.7600000000002</v>
      </c>
      <c r="I80" s="45">
        <v>1525.68</v>
      </c>
      <c r="J80" s="45">
        <v>1763.8200000000002</v>
      </c>
      <c r="K80" s="45">
        <v>1532.0000000000002</v>
      </c>
      <c r="L80" s="45">
        <v>1471.56</v>
      </c>
      <c r="M80" s="45">
        <v>1416.72</v>
      </c>
      <c r="N80" s="47"/>
      <c r="O80" s="45">
        <f>SUM(B80:M80)</f>
        <v>18056.520000000004</v>
      </c>
      <c r="P80" s="45">
        <f>O80+76854</f>
        <v>94910.52</v>
      </c>
      <c r="R80" s="68"/>
      <c r="S80" s="68"/>
    </row>
    <row r="81" spans="1:19" ht="18" x14ac:dyDescent="0.25">
      <c r="A81" s="40" t="s">
        <v>104</v>
      </c>
      <c r="B81" s="41">
        <v>37</v>
      </c>
      <c r="C81" s="41">
        <v>37</v>
      </c>
      <c r="D81" s="41">
        <v>37</v>
      </c>
      <c r="E81" s="41">
        <v>37</v>
      </c>
      <c r="F81" s="41">
        <v>37</v>
      </c>
      <c r="G81" s="41">
        <v>37.799999999999997</v>
      </c>
      <c r="H81" s="41">
        <v>37.6</v>
      </c>
      <c r="I81" s="41">
        <v>36.6</v>
      </c>
      <c r="J81" s="41">
        <v>36</v>
      </c>
      <c r="K81" s="41">
        <v>36</v>
      </c>
      <c r="L81" s="41">
        <v>36</v>
      </c>
      <c r="M81" s="41">
        <v>34.4</v>
      </c>
      <c r="N81" s="49"/>
      <c r="O81" s="41"/>
      <c r="P81" s="41"/>
      <c r="R81" s="68"/>
      <c r="S81" s="68"/>
    </row>
    <row r="82" spans="1:19" x14ac:dyDescent="0.25">
      <c r="A82" s="44" t="s">
        <v>97</v>
      </c>
      <c r="B82" s="45">
        <v>1136214.25</v>
      </c>
      <c r="C82" s="45">
        <v>1099004.25</v>
      </c>
      <c r="D82" s="45">
        <v>973468.41</v>
      </c>
      <c r="E82" s="45">
        <v>1167968.8599999999</v>
      </c>
      <c r="F82" s="45">
        <v>1119796.75</v>
      </c>
      <c r="G82" s="45">
        <v>846224</v>
      </c>
      <c r="H82" s="45">
        <v>939771.5</v>
      </c>
      <c r="I82" s="45">
        <v>909419</v>
      </c>
      <c r="J82" s="45">
        <v>1281692.99</v>
      </c>
      <c r="K82" s="45">
        <v>982379.73</v>
      </c>
      <c r="L82" s="45">
        <v>1058771.5</v>
      </c>
      <c r="M82" s="45">
        <v>1023819</v>
      </c>
      <c r="N82" s="55"/>
      <c r="O82" s="45">
        <f t="shared" ref="O82:O92" si="3">SUM(B82:M82)</f>
        <v>12538530.24</v>
      </c>
      <c r="P82" s="45">
        <f>O82+65152987</f>
        <v>77691517.239999995</v>
      </c>
      <c r="R82" s="68"/>
      <c r="S82" s="68"/>
    </row>
    <row r="83" spans="1:19" ht="18" x14ac:dyDescent="0.25">
      <c r="A83" s="44" t="s">
        <v>102</v>
      </c>
      <c r="B83" s="45">
        <v>136345.71000000002</v>
      </c>
      <c r="C83" s="45">
        <v>131880.51</v>
      </c>
      <c r="D83" s="45">
        <v>116816.2</v>
      </c>
      <c r="E83" s="45">
        <v>140156.26</v>
      </c>
      <c r="F83" s="45">
        <v>134375.61000000002</v>
      </c>
      <c r="G83" s="45">
        <v>101546.88</v>
      </c>
      <c r="H83" s="45">
        <v>112772.58000000002</v>
      </c>
      <c r="I83" s="45">
        <v>109130.28</v>
      </c>
      <c r="J83" s="45">
        <v>153803.16</v>
      </c>
      <c r="K83" s="45">
        <v>117885.57</v>
      </c>
      <c r="L83" s="45">
        <v>127052.57999999999</v>
      </c>
      <c r="M83" s="45">
        <v>122858.27999999998</v>
      </c>
      <c r="N83" s="52"/>
      <c r="O83" s="45">
        <f t="shared" si="3"/>
        <v>1504623.62</v>
      </c>
      <c r="P83" s="45">
        <f>O83+8626762</f>
        <v>10131385.620000001</v>
      </c>
      <c r="R83" s="68"/>
      <c r="S83" s="68"/>
    </row>
    <row r="84" spans="1:19" x14ac:dyDescent="0.25">
      <c r="A84" s="44" t="s">
        <v>88</v>
      </c>
      <c r="B84" s="45">
        <v>22724.3</v>
      </c>
      <c r="C84" s="45">
        <v>21980.090000000004</v>
      </c>
      <c r="D84" s="45">
        <v>19469.38</v>
      </c>
      <c r="E84" s="45">
        <v>23359.38</v>
      </c>
      <c r="F84" s="45">
        <v>22395.94</v>
      </c>
      <c r="G84" s="45">
        <v>16924.490000000002</v>
      </c>
      <c r="H84" s="45">
        <v>18795.439999999999</v>
      </c>
      <c r="I84" s="45">
        <v>18188.39</v>
      </c>
      <c r="J84" s="45">
        <v>25633.87</v>
      </c>
      <c r="K84" s="45">
        <v>19647.599999999999</v>
      </c>
      <c r="L84" s="45">
        <v>21175.449999999997</v>
      </c>
      <c r="M84" s="45">
        <v>20476.399999999998</v>
      </c>
      <c r="N84" s="46"/>
      <c r="O84" s="45">
        <f t="shared" si="3"/>
        <v>250770.73</v>
      </c>
      <c r="P84" s="45">
        <f>O84+1303060</f>
        <v>1553830.73</v>
      </c>
      <c r="R84" s="68"/>
      <c r="S84" s="68"/>
    </row>
    <row r="85" spans="1:19" ht="18" x14ac:dyDescent="0.25">
      <c r="A85" s="40" t="s">
        <v>105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7"/>
      <c r="O85" s="41"/>
      <c r="P85" s="41"/>
    </row>
    <row r="86" spans="1:19" x14ac:dyDescent="0.25">
      <c r="A86" s="44" t="s">
        <v>97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7"/>
      <c r="O86" s="45">
        <f t="shared" si="3"/>
        <v>0</v>
      </c>
      <c r="P86" s="45">
        <f>O86</f>
        <v>0</v>
      </c>
    </row>
    <row r="87" spans="1:19" ht="18" x14ac:dyDescent="0.25">
      <c r="A87" s="44" t="s">
        <v>102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39"/>
      <c r="O87" s="45">
        <f t="shared" si="3"/>
        <v>0</v>
      </c>
      <c r="P87" s="45">
        <f>O87</f>
        <v>0</v>
      </c>
    </row>
    <row r="88" spans="1:19" x14ac:dyDescent="0.25">
      <c r="A88" s="44" t="s">
        <v>88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8"/>
      <c r="O88" s="45">
        <f t="shared" si="3"/>
        <v>0</v>
      </c>
      <c r="P88" s="45">
        <f>O88</f>
        <v>0</v>
      </c>
    </row>
    <row r="89" spans="1:19" ht="18" x14ac:dyDescent="0.25">
      <c r="A89" s="40" t="s">
        <v>106</v>
      </c>
      <c r="B89" s="41">
        <v>0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1</v>
      </c>
      <c r="J89" s="41">
        <v>1</v>
      </c>
      <c r="K89" s="41">
        <v>1</v>
      </c>
      <c r="L89" s="41">
        <v>1</v>
      </c>
      <c r="M89" s="41">
        <v>2</v>
      </c>
      <c r="N89" s="39"/>
      <c r="O89" s="41"/>
      <c r="P89" s="41"/>
    </row>
    <row r="90" spans="1:19" x14ac:dyDescent="0.25">
      <c r="A90" s="44" t="s">
        <v>97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22242</v>
      </c>
      <c r="J90" s="45">
        <v>48924.5</v>
      </c>
      <c r="K90" s="45">
        <v>75387.5</v>
      </c>
      <c r="L90" s="45">
        <v>47034</v>
      </c>
      <c r="M90" s="45">
        <v>68165</v>
      </c>
      <c r="N90" s="48"/>
      <c r="O90" s="45">
        <f t="shared" si="3"/>
        <v>261753</v>
      </c>
      <c r="P90" s="45">
        <f>O90</f>
        <v>261753</v>
      </c>
    </row>
    <row r="91" spans="1:19" ht="18" x14ac:dyDescent="0.25">
      <c r="A91" s="44" t="s">
        <v>102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10231.32</v>
      </c>
      <c r="J91" s="45">
        <v>22505.27</v>
      </c>
      <c r="K91" s="45">
        <v>34678.25</v>
      </c>
      <c r="L91" s="45">
        <v>21635.64</v>
      </c>
      <c r="M91" s="45">
        <v>31355.9</v>
      </c>
      <c r="N91" s="39"/>
      <c r="O91" s="45">
        <f t="shared" si="3"/>
        <v>120406.38</v>
      </c>
      <c r="P91" s="45">
        <f>O91</f>
        <v>120406.38</v>
      </c>
    </row>
    <row r="92" spans="1:19" x14ac:dyDescent="0.25">
      <c r="A92" s="44" t="s">
        <v>88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444.84000000000003</v>
      </c>
      <c r="J92" s="45">
        <v>978.49</v>
      </c>
      <c r="K92" s="45">
        <v>1507.75</v>
      </c>
      <c r="L92" s="45">
        <v>940.68000000000006</v>
      </c>
      <c r="M92" s="45">
        <v>1363.3</v>
      </c>
      <c r="N92" s="49"/>
      <c r="O92" s="45">
        <f t="shared" si="3"/>
        <v>5235.0600000000004</v>
      </c>
      <c r="P92" s="45">
        <f>O92</f>
        <v>5235.0600000000004</v>
      </c>
    </row>
    <row r="93" spans="1:19" x14ac:dyDescent="0.25">
      <c r="B93" s="41"/>
      <c r="C93" s="41"/>
      <c r="D93" s="41"/>
      <c r="E93" s="41"/>
      <c r="F93" s="41"/>
      <c r="G93" s="41"/>
      <c r="I93" s="41"/>
      <c r="J93" s="41"/>
      <c r="K93" s="41"/>
      <c r="L93" s="41"/>
      <c r="M93" s="41"/>
      <c r="N93" s="39"/>
      <c r="O93" s="41"/>
      <c r="P93" s="41"/>
    </row>
    <row r="94" spans="1:19" x14ac:dyDescent="0.25">
      <c r="A94" s="53" t="s">
        <v>92</v>
      </c>
      <c r="B94" s="45"/>
      <c r="C94" s="45"/>
      <c r="D94" s="45"/>
      <c r="E94" s="45"/>
      <c r="F94" s="45"/>
      <c r="G94" s="45"/>
      <c r="I94" s="45"/>
      <c r="J94" s="45"/>
      <c r="K94" s="45"/>
      <c r="L94" s="45"/>
      <c r="M94" s="45"/>
      <c r="N94" s="49"/>
      <c r="O94" s="45"/>
      <c r="P94" s="45"/>
    </row>
    <row r="95" spans="1:19" x14ac:dyDescent="0.25">
      <c r="A95" s="40" t="s">
        <v>87</v>
      </c>
      <c r="B95" s="41">
        <v>81</v>
      </c>
      <c r="C95" s="41">
        <v>81</v>
      </c>
      <c r="D95" s="41">
        <v>81</v>
      </c>
      <c r="E95" s="41">
        <v>81</v>
      </c>
      <c r="F95" s="41">
        <v>81</v>
      </c>
      <c r="G95" s="41">
        <v>81</v>
      </c>
      <c r="H95" s="41">
        <v>81</v>
      </c>
      <c r="I95" s="41">
        <v>81</v>
      </c>
      <c r="J95" s="41">
        <v>81</v>
      </c>
      <c r="K95" s="41">
        <v>81</v>
      </c>
      <c r="L95" s="41">
        <v>81</v>
      </c>
      <c r="M95" s="41">
        <v>81</v>
      </c>
      <c r="N95" s="39"/>
      <c r="O95" s="41"/>
      <c r="P95" s="41"/>
    </row>
    <row r="96" spans="1:19" x14ac:dyDescent="0.25">
      <c r="A96" s="44" t="s">
        <v>97</v>
      </c>
      <c r="B96" s="45">
        <v>3057585.9</v>
      </c>
      <c r="C96" s="45">
        <v>2428162.65</v>
      </c>
      <c r="D96" s="45">
        <v>1948524.57</v>
      </c>
      <c r="E96" s="45">
        <v>2052929.08</v>
      </c>
      <c r="F96" s="45">
        <v>1834576.6400000001</v>
      </c>
      <c r="G96" s="45">
        <v>2492946.6800000002</v>
      </c>
      <c r="H96" s="45">
        <v>2816322.0300000003</v>
      </c>
      <c r="I96" s="45">
        <v>2867760.9699999997</v>
      </c>
      <c r="J96" s="45">
        <v>2903530.22</v>
      </c>
      <c r="K96" s="45">
        <v>1917818.91</v>
      </c>
      <c r="L96" s="45">
        <v>2467272</v>
      </c>
      <c r="M96" s="45">
        <v>2557775.2000000002</v>
      </c>
      <c r="N96" s="47"/>
      <c r="O96" s="45">
        <f>SUM(B96:M96)</f>
        <v>29345204.849999998</v>
      </c>
      <c r="P96" s="45">
        <f>O96+133654925</f>
        <v>163000129.84999999</v>
      </c>
    </row>
    <row r="97" spans="1:16" ht="18" x14ac:dyDescent="0.25">
      <c r="A97" s="44" t="s">
        <v>102</v>
      </c>
      <c r="B97" s="45">
        <v>366910.31000000006</v>
      </c>
      <c r="C97" s="45">
        <v>291379.52</v>
      </c>
      <c r="D97" s="45">
        <v>233822.95</v>
      </c>
      <c r="E97" s="45">
        <v>246351.49</v>
      </c>
      <c r="F97" s="45">
        <v>220149.2</v>
      </c>
      <c r="G97" s="45">
        <v>299153.60000000003</v>
      </c>
      <c r="H97" s="45">
        <v>337958.64</v>
      </c>
      <c r="I97" s="45">
        <v>344131.32</v>
      </c>
      <c r="J97" s="45">
        <v>348423.63</v>
      </c>
      <c r="K97" s="45">
        <v>230138.27000000002</v>
      </c>
      <c r="L97" s="45">
        <v>296072.64</v>
      </c>
      <c r="M97" s="45">
        <v>306933.01999999996</v>
      </c>
      <c r="O97" s="45">
        <f>SUM(B97:M97)</f>
        <v>3521424.59</v>
      </c>
      <c r="P97" s="45">
        <f>O97+17411713</f>
        <v>20933137.59</v>
      </c>
    </row>
    <row r="98" spans="1:16" x14ac:dyDescent="0.25">
      <c r="A98" s="44" t="s">
        <v>88</v>
      </c>
      <c r="B98" s="45">
        <v>61151.719999999994</v>
      </c>
      <c r="C98" s="45">
        <v>48563.259999999995</v>
      </c>
      <c r="D98" s="45">
        <v>38970.499999999993</v>
      </c>
      <c r="E98" s="45">
        <v>41058.6</v>
      </c>
      <c r="F98" s="45">
        <v>36691.54</v>
      </c>
      <c r="G98" s="45">
        <v>49858.95</v>
      </c>
      <c r="H98" s="45">
        <v>56326.46</v>
      </c>
      <c r="I98" s="45">
        <v>57355.229999999996</v>
      </c>
      <c r="J98" s="45">
        <v>58070.61</v>
      </c>
      <c r="K98" s="45">
        <v>38356.39</v>
      </c>
      <c r="L98" s="45">
        <v>49345.45</v>
      </c>
      <c r="M98" s="45">
        <v>51155.51</v>
      </c>
      <c r="O98" s="45">
        <f>SUM(B98:M98)</f>
        <v>586904.22</v>
      </c>
      <c r="P98" s="45">
        <f>O98+2673099</f>
        <v>3260003.2199999997</v>
      </c>
    </row>
    <row r="99" spans="1:16" ht="18" x14ac:dyDescent="0.25">
      <c r="A99" s="40" t="s">
        <v>103</v>
      </c>
      <c r="B99" s="41">
        <v>14</v>
      </c>
      <c r="C99" s="41">
        <v>14</v>
      </c>
      <c r="D99" s="41">
        <v>14</v>
      </c>
      <c r="E99" s="41">
        <v>14</v>
      </c>
      <c r="F99" s="41">
        <v>14</v>
      </c>
      <c r="G99" s="41">
        <v>14</v>
      </c>
      <c r="H99" s="41">
        <v>14</v>
      </c>
      <c r="I99" s="41">
        <v>14</v>
      </c>
      <c r="J99" s="41">
        <v>14</v>
      </c>
      <c r="K99" s="41">
        <v>14</v>
      </c>
      <c r="L99" s="41">
        <v>14</v>
      </c>
      <c r="M99" s="41">
        <v>14</v>
      </c>
      <c r="O99" s="41"/>
      <c r="P99" s="41"/>
    </row>
    <row r="100" spans="1:16" x14ac:dyDescent="0.25">
      <c r="A100" s="44" t="s">
        <v>97</v>
      </c>
      <c r="B100" s="45">
        <v>200469</v>
      </c>
      <c r="C100" s="45">
        <v>204969</v>
      </c>
      <c r="D100" s="45">
        <v>178644</v>
      </c>
      <c r="E100" s="45">
        <v>196863</v>
      </c>
      <c r="F100" s="45">
        <v>186148</v>
      </c>
      <c r="G100" s="45">
        <v>186110</v>
      </c>
      <c r="H100" s="45">
        <v>188249</v>
      </c>
      <c r="I100" s="45">
        <v>182760</v>
      </c>
      <c r="J100" s="45">
        <v>211707</v>
      </c>
      <c r="K100" s="45">
        <v>183795</v>
      </c>
      <c r="L100" s="45">
        <v>193779</v>
      </c>
      <c r="M100" s="45">
        <v>167170</v>
      </c>
      <c r="O100" s="45">
        <f>SUM(B100:M100)</f>
        <v>2280663</v>
      </c>
      <c r="P100" s="45">
        <f>O100+12957265</f>
        <v>15237928</v>
      </c>
    </row>
    <row r="101" spans="1:16" ht="18" x14ac:dyDescent="0.25">
      <c r="A101" s="44" t="s">
        <v>102</v>
      </c>
      <c r="B101" s="45">
        <v>24056.28</v>
      </c>
      <c r="C101" s="45">
        <v>24596.28</v>
      </c>
      <c r="D101" s="45">
        <v>21437.280000000002</v>
      </c>
      <c r="E101" s="45">
        <v>23623.56</v>
      </c>
      <c r="F101" s="45">
        <v>22337.760000000002</v>
      </c>
      <c r="G101" s="45">
        <v>22333.200000000001</v>
      </c>
      <c r="H101" s="45">
        <v>22589.88</v>
      </c>
      <c r="I101" s="45">
        <v>21931.199999999997</v>
      </c>
      <c r="J101" s="45">
        <v>25404.839999999997</v>
      </c>
      <c r="K101" s="45">
        <v>22055.4</v>
      </c>
      <c r="L101" s="45">
        <v>23253.48</v>
      </c>
      <c r="M101" s="45">
        <v>20060.400000000001</v>
      </c>
      <c r="O101" s="45">
        <f>SUM(B101:M101)</f>
        <v>273679.56</v>
      </c>
      <c r="P101" s="45">
        <f>O101+1706094</f>
        <v>1979773.56</v>
      </c>
    </row>
    <row r="102" spans="1:16" x14ac:dyDescent="0.25">
      <c r="A102" s="44" t="s">
        <v>88</v>
      </c>
      <c r="B102" s="45">
        <v>4009.38</v>
      </c>
      <c r="C102" s="45">
        <v>4099.38</v>
      </c>
      <c r="D102" s="45">
        <v>3572.88</v>
      </c>
      <c r="E102" s="45">
        <v>3937.2599999999998</v>
      </c>
      <c r="F102" s="45">
        <v>3722.9600000000005</v>
      </c>
      <c r="G102" s="45">
        <v>3722.2</v>
      </c>
      <c r="H102" s="45">
        <v>3764.9800000000005</v>
      </c>
      <c r="I102" s="45">
        <v>3655.2000000000003</v>
      </c>
      <c r="J102" s="45">
        <v>4234.1400000000003</v>
      </c>
      <c r="K102" s="45">
        <v>3675.9</v>
      </c>
      <c r="L102" s="45">
        <v>3875.5799999999995</v>
      </c>
      <c r="M102" s="45">
        <v>3343.3999999999996</v>
      </c>
      <c r="O102" s="45">
        <f>SUM(B102:M102)</f>
        <v>45613.260000000009</v>
      </c>
      <c r="P102" s="45">
        <f>O102+259145</f>
        <v>304758.26</v>
      </c>
    </row>
    <row r="103" spans="1:16" ht="18" x14ac:dyDescent="0.25">
      <c r="A103" s="40" t="s">
        <v>104</v>
      </c>
      <c r="B103" s="41">
        <v>67</v>
      </c>
      <c r="C103" s="41">
        <v>67</v>
      </c>
      <c r="D103" s="41">
        <v>67.400000000000006</v>
      </c>
      <c r="E103" s="41">
        <v>67</v>
      </c>
      <c r="F103" s="41">
        <v>67</v>
      </c>
      <c r="G103" s="41">
        <v>67</v>
      </c>
      <c r="H103" s="41">
        <v>67</v>
      </c>
      <c r="I103" s="41">
        <v>67</v>
      </c>
      <c r="J103" s="41">
        <v>67</v>
      </c>
      <c r="K103" s="41">
        <v>67</v>
      </c>
      <c r="L103" s="41">
        <v>67</v>
      </c>
      <c r="M103" s="41">
        <v>67</v>
      </c>
      <c r="O103" s="41"/>
      <c r="P103" s="41"/>
    </row>
    <row r="104" spans="1:16" x14ac:dyDescent="0.25">
      <c r="A104" s="44" t="s">
        <v>97</v>
      </c>
      <c r="B104" s="45">
        <v>2857116.9</v>
      </c>
      <c r="C104" s="45">
        <v>2223193.65</v>
      </c>
      <c r="D104" s="45">
        <v>1769880.57</v>
      </c>
      <c r="E104" s="45">
        <v>1856066.08</v>
      </c>
      <c r="F104" s="45">
        <v>1648428.6400000001</v>
      </c>
      <c r="G104" s="45">
        <v>2306836.6800000002</v>
      </c>
      <c r="H104" s="45">
        <v>2628073.0300000003</v>
      </c>
      <c r="I104" s="45">
        <v>2685000.9699999997</v>
      </c>
      <c r="J104" s="45">
        <v>2691823.22</v>
      </c>
      <c r="K104" s="45">
        <v>1734023.91</v>
      </c>
      <c r="L104" s="45">
        <v>2273493</v>
      </c>
      <c r="M104" s="45">
        <v>2390605.2000000002</v>
      </c>
      <c r="O104" s="45">
        <f>SUM(B104:M104)</f>
        <v>27064541.849999998</v>
      </c>
      <c r="P104" s="45">
        <f>O104+120697659</f>
        <v>147762200.84999999</v>
      </c>
    </row>
    <row r="105" spans="1:16" ht="18" x14ac:dyDescent="0.25">
      <c r="A105" s="44" t="s">
        <v>102</v>
      </c>
      <c r="B105" s="45">
        <v>342854.03</v>
      </c>
      <c r="C105" s="45">
        <v>266783.24</v>
      </c>
      <c r="D105" s="45">
        <v>212385.67</v>
      </c>
      <c r="E105" s="45">
        <v>222727.93</v>
      </c>
      <c r="F105" s="45">
        <v>197811.44</v>
      </c>
      <c r="G105" s="45">
        <v>276820.40000000002</v>
      </c>
      <c r="H105" s="45">
        <v>315368.76</v>
      </c>
      <c r="I105" s="45">
        <v>322200.12</v>
      </c>
      <c r="J105" s="45">
        <v>323018.78999999998</v>
      </c>
      <c r="K105" s="45">
        <v>208082.87</v>
      </c>
      <c r="L105" s="45">
        <v>272819.15999999997</v>
      </c>
      <c r="M105" s="45">
        <v>286872.62</v>
      </c>
      <c r="O105" s="45">
        <f>SUM(B105:M105)</f>
        <v>3247745.0300000003</v>
      </c>
      <c r="P105" s="45">
        <f>O105+15705619</f>
        <v>18953364.030000001</v>
      </c>
    </row>
    <row r="106" spans="1:16" x14ac:dyDescent="0.25">
      <c r="A106" s="44" t="s">
        <v>88</v>
      </c>
      <c r="B106" s="45">
        <v>57142.34</v>
      </c>
      <c r="C106" s="45">
        <v>44463.880000000005</v>
      </c>
      <c r="D106" s="45">
        <v>35397.620000000003</v>
      </c>
      <c r="E106" s="45">
        <v>37121.339999999997</v>
      </c>
      <c r="F106" s="45">
        <v>32968.58</v>
      </c>
      <c r="G106" s="45">
        <v>46136.75</v>
      </c>
      <c r="H106" s="45">
        <v>52561.48</v>
      </c>
      <c r="I106" s="45">
        <v>53700.030000000006</v>
      </c>
      <c r="J106" s="45">
        <v>53836.469999999994</v>
      </c>
      <c r="K106" s="45">
        <v>34680.49</v>
      </c>
      <c r="L106" s="45">
        <v>45469.87</v>
      </c>
      <c r="M106" s="45">
        <v>47812.11</v>
      </c>
      <c r="O106" s="45">
        <f>SUM(B106:M106)</f>
        <v>541290.96</v>
      </c>
      <c r="P106" s="45">
        <f>O106+2413954</f>
        <v>2955244.96</v>
      </c>
    </row>
    <row r="107" spans="1:16" ht="18" x14ac:dyDescent="0.25">
      <c r="A107" s="40" t="s">
        <v>105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O107" s="41"/>
      <c r="P107" s="41"/>
    </row>
    <row r="108" spans="1:16" x14ac:dyDescent="0.25">
      <c r="A108" s="44" t="s">
        <v>97</v>
      </c>
      <c r="B108" s="45">
        <v>0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O108" s="45">
        <f>SUM(B108:M108)</f>
        <v>0</v>
      </c>
      <c r="P108" s="45">
        <f>O108</f>
        <v>0</v>
      </c>
    </row>
    <row r="109" spans="1:16" ht="18" x14ac:dyDescent="0.25">
      <c r="A109" s="44" t="s">
        <v>102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O109" s="45">
        <f>SUM(B109:M109)</f>
        <v>0</v>
      </c>
      <c r="P109" s="45">
        <f>O109</f>
        <v>0</v>
      </c>
    </row>
    <row r="110" spans="1:16" x14ac:dyDescent="0.25">
      <c r="A110" s="44" t="s">
        <v>88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O110" s="45">
        <f>SUM(B110:M110)</f>
        <v>0</v>
      </c>
      <c r="P110" s="45">
        <f>O110</f>
        <v>0</v>
      </c>
    </row>
    <row r="111" spans="1:16" ht="18" x14ac:dyDescent="0.25">
      <c r="A111" s="40" t="s">
        <v>106</v>
      </c>
      <c r="B111" s="41">
        <v>0</v>
      </c>
      <c r="C111" s="41">
        <v>0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O111" s="41"/>
      <c r="P111" s="41"/>
    </row>
    <row r="112" spans="1:16" x14ac:dyDescent="0.25">
      <c r="A112" s="44" t="s">
        <v>97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O112" s="45">
        <f>SUM(B112:M112)</f>
        <v>0</v>
      </c>
      <c r="P112" s="45">
        <f>O112</f>
        <v>0</v>
      </c>
    </row>
    <row r="113" spans="1:16" ht="18" x14ac:dyDescent="0.25">
      <c r="A113" s="44" t="s">
        <v>102</v>
      </c>
      <c r="B113" s="45">
        <v>0</v>
      </c>
      <c r="C113" s="45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O113" s="45">
        <f>SUM(B113:M113)</f>
        <v>0</v>
      </c>
      <c r="P113" s="45">
        <f>O113</f>
        <v>0</v>
      </c>
    </row>
    <row r="114" spans="1:16" x14ac:dyDescent="0.25">
      <c r="A114" s="44" t="s">
        <v>88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O114" s="45">
        <f>SUM(B114:M114)</f>
        <v>0</v>
      </c>
      <c r="P114" s="45">
        <f>O114</f>
        <v>0</v>
      </c>
    </row>
    <row r="115" spans="1:16" x14ac:dyDescent="0.25">
      <c r="B115" s="45"/>
      <c r="C115" s="45"/>
      <c r="D115" s="45"/>
      <c r="E115" s="45"/>
      <c r="F115" s="45"/>
      <c r="G115" s="45"/>
      <c r="I115" s="45"/>
      <c r="J115" s="45"/>
      <c r="K115" s="45"/>
      <c r="L115" s="45"/>
      <c r="M115" s="45"/>
      <c r="O115" s="45"/>
      <c r="P115" s="45"/>
    </row>
    <row r="116" spans="1:16" x14ac:dyDescent="0.25">
      <c r="A116" s="53" t="s">
        <v>93</v>
      </c>
      <c r="B116" s="41"/>
      <c r="C116" s="41"/>
      <c r="D116" s="41"/>
      <c r="E116" s="41"/>
      <c r="F116" s="41"/>
      <c r="G116" s="41"/>
      <c r="I116" s="41"/>
      <c r="J116" s="41"/>
      <c r="K116" s="41"/>
      <c r="L116" s="41"/>
      <c r="M116" s="41"/>
      <c r="O116" s="41"/>
      <c r="P116" s="41"/>
    </row>
    <row r="117" spans="1:16" x14ac:dyDescent="0.25">
      <c r="A117" s="40" t="s">
        <v>87</v>
      </c>
      <c r="B117" s="41">
        <v>80</v>
      </c>
      <c r="C117" s="41">
        <v>80</v>
      </c>
      <c r="D117" s="41">
        <v>80</v>
      </c>
      <c r="E117" s="41">
        <v>80</v>
      </c>
      <c r="F117" s="41">
        <v>80</v>
      </c>
      <c r="G117" s="41">
        <v>80</v>
      </c>
      <c r="H117" s="41">
        <v>80</v>
      </c>
      <c r="I117" s="41">
        <v>80</v>
      </c>
      <c r="J117" s="41">
        <v>80</v>
      </c>
      <c r="K117" s="41">
        <v>80</v>
      </c>
      <c r="L117" s="41">
        <v>80</v>
      </c>
      <c r="M117" s="41">
        <v>80</v>
      </c>
      <c r="O117" s="41"/>
      <c r="P117" s="41"/>
    </row>
    <row r="118" spans="1:16" x14ac:dyDescent="0.25">
      <c r="A118" s="44" t="s">
        <v>97</v>
      </c>
      <c r="B118" s="45">
        <v>3195426.92</v>
      </c>
      <c r="C118" s="45">
        <v>4073057.5199999996</v>
      </c>
      <c r="D118" s="45">
        <v>3803079.3200000003</v>
      </c>
      <c r="E118" s="45">
        <v>3577991.0599999996</v>
      </c>
      <c r="F118" s="45">
        <v>4084469.6</v>
      </c>
      <c r="G118" s="45">
        <v>3478429.46</v>
      </c>
      <c r="H118" s="45">
        <v>3878771.4699999997</v>
      </c>
      <c r="I118" s="45">
        <v>3411678.55</v>
      </c>
      <c r="J118" s="45">
        <v>4091794.6500000004</v>
      </c>
      <c r="K118" s="45">
        <v>3224471.3699999996</v>
      </c>
      <c r="L118" s="45">
        <v>4168702.91</v>
      </c>
      <c r="M118" s="45">
        <v>3503060.87</v>
      </c>
      <c r="O118" s="45">
        <f>SUM(B118:M118)</f>
        <v>44490933.699999996</v>
      </c>
      <c r="P118" s="45">
        <f>O118+160104942</f>
        <v>204595875.69999999</v>
      </c>
    </row>
    <row r="119" spans="1:16" ht="18" x14ac:dyDescent="0.25">
      <c r="A119" s="44" t="s">
        <v>102</v>
      </c>
      <c r="B119" s="45">
        <v>410989.36000000004</v>
      </c>
      <c r="C119" s="45">
        <v>513413.16</v>
      </c>
      <c r="D119" s="45">
        <v>484909.47</v>
      </c>
      <c r="E119" s="45">
        <v>462929.85</v>
      </c>
      <c r="F119" s="45">
        <v>518076.52999999997</v>
      </c>
      <c r="G119" s="45">
        <v>446719.20000000007</v>
      </c>
      <c r="H119" s="45">
        <v>499146.92000000004</v>
      </c>
      <c r="I119" s="45">
        <v>430071.91000000003</v>
      </c>
      <c r="J119" s="45">
        <v>514456.15000000008</v>
      </c>
      <c r="K119" s="45">
        <v>412570.18</v>
      </c>
      <c r="L119" s="45">
        <v>522780.75</v>
      </c>
      <c r="M119" s="45">
        <v>435128.07</v>
      </c>
      <c r="O119" s="45">
        <f>SUM(B119:M119)</f>
        <v>5651191.5499999998</v>
      </c>
      <c r="P119" s="45">
        <f>O119+20943236</f>
        <v>26594427.550000001</v>
      </c>
    </row>
    <row r="120" spans="1:16" x14ac:dyDescent="0.25">
      <c r="A120" s="44" t="s">
        <v>88</v>
      </c>
      <c r="B120" s="45">
        <v>63908.539999999994</v>
      </c>
      <c r="C120" s="45">
        <v>81461.16</v>
      </c>
      <c r="D120" s="45">
        <v>76061.590000000011</v>
      </c>
      <c r="E120" s="45">
        <v>71559.820000000007</v>
      </c>
      <c r="F120" s="45">
        <v>81689.400000000009</v>
      </c>
      <c r="G120" s="45">
        <v>69568.600000000006</v>
      </c>
      <c r="H120" s="45">
        <v>77575.44</v>
      </c>
      <c r="I120" s="45">
        <v>68233.569999999992</v>
      </c>
      <c r="J120" s="45">
        <v>81835.899999999994</v>
      </c>
      <c r="K120" s="45">
        <v>64489.429999999993</v>
      </c>
      <c r="L120" s="45">
        <v>83374.070000000007</v>
      </c>
      <c r="M120" s="45">
        <v>70061.22</v>
      </c>
      <c r="O120" s="45">
        <f>SUM(B120:M120)</f>
        <v>889818.74000000022</v>
      </c>
      <c r="P120" s="45">
        <f>O120+3202099</f>
        <v>4091917.74</v>
      </c>
    </row>
    <row r="121" spans="1:16" ht="18" x14ac:dyDescent="0.25">
      <c r="A121" s="40" t="s">
        <v>103</v>
      </c>
      <c r="B121" s="41">
        <v>9</v>
      </c>
      <c r="C121" s="41">
        <v>9</v>
      </c>
      <c r="D121" s="41">
        <v>9</v>
      </c>
      <c r="E121" s="41">
        <v>9</v>
      </c>
      <c r="F121" s="41">
        <v>9</v>
      </c>
      <c r="G121" s="41">
        <v>9</v>
      </c>
      <c r="H121" s="41">
        <v>9</v>
      </c>
      <c r="I121" s="41">
        <v>9</v>
      </c>
      <c r="J121" s="41">
        <v>9</v>
      </c>
      <c r="K121" s="41">
        <v>9</v>
      </c>
      <c r="L121" s="41">
        <v>9</v>
      </c>
      <c r="M121" s="41">
        <v>9</v>
      </c>
      <c r="O121" s="41"/>
      <c r="P121" s="41"/>
    </row>
    <row r="122" spans="1:16" x14ac:dyDescent="0.25">
      <c r="A122" s="44" t="s">
        <v>97</v>
      </c>
      <c r="B122" s="45">
        <v>135598</v>
      </c>
      <c r="C122" s="45">
        <v>147136</v>
      </c>
      <c r="D122" s="45">
        <v>114850</v>
      </c>
      <c r="E122" s="45">
        <v>120162.05</v>
      </c>
      <c r="F122" s="45">
        <v>108387</v>
      </c>
      <c r="G122" s="45">
        <v>104416</v>
      </c>
      <c r="H122" s="45">
        <v>113286.05</v>
      </c>
      <c r="I122" s="45">
        <v>92937</v>
      </c>
      <c r="J122" s="45">
        <v>109451.1</v>
      </c>
      <c r="K122" s="45">
        <v>103630.1</v>
      </c>
      <c r="L122" s="45">
        <v>110639</v>
      </c>
      <c r="M122" s="45">
        <v>101413</v>
      </c>
      <c r="O122" s="45">
        <f>SUM(B122:M122)</f>
        <v>1361905.3</v>
      </c>
      <c r="P122" s="45">
        <f>O122+10025084</f>
        <v>11386989.300000001</v>
      </c>
    </row>
    <row r="123" spans="1:16" ht="18" x14ac:dyDescent="0.25">
      <c r="A123" s="44" t="s">
        <v>102</v>
      </c>
      <c r="B123" s="45">
        <v>16271.76</v>
      </c>
      <c r="C123" s="45">
        <v>17656.32</v>
      </c>
      <c r="D123" s="45">
        <v>13782</v>
      </c>
      <c r="E123" s="45">
        <v>14419.45</v>
      </c>
      <c r="F123" s="45">
        <v>13006.439999999999</v>
      </c>
      <c r="G123" s="45">
        <v>12529.92</v>
      </c>
      <c r="H123" s="45">
        <v>13594.33</v>
      </c>
      <c r="I123" s="45">
        <v>11152.439999999999</v>
      </c>
      <c r="J123" s="45">
        <v>13134.130000000001</v>
      </c>
      <c r="K123" s="45">
        <v>12435.61</v>
      </c>
      <c r="L123" s="45">
        <v>13276.68</v>
      </c>
      <c r="M123" s="45">
        <v>12169.560000000001</v>
      </c>
      <c r="O123" s="45">
        <f>SUM(B123:M123)</f>
        <v>163428.64000000001</v>
      </c>
      <c r="P123" s="45">
        <f>O123+1329250</f>
        <v>1492678.6400000001</v>
      </c>
    </row>
    <row r="124" spans="1:16" x14ac:dyDescent="0.25">
      <c r="A124" s="44" t="s">
        <v>88</v>
      </c>
      <c r="B124" s="45">
        <v>2711.9599999999996</v>
      </c>
      <c r="C124" s="45">
        <v>2942.7200000000003</v>
      </c>
      <c r="D124" s="45">
        <v>2297</v>
      </c>
      <c r="E124" s="45">
        <v>2403.2399999999998</v>
      </c>
      <c r="F124" s="45">
        <v>2167.7399999999998</v>
      </c>
      <c r="G124" s="45">
        <v>2088.3199999999997</v>
      </c>
      <c r="H124" s="45">
        <v>2265.7199999999998</v>
      </c>
      <c r="I124" s="45">
        <v>1858.7399999999998</v>
      </c>
      <c r="J124" s="45">
        <v>2189.02</v>
      </c>
      <c r="K124" s="45">
        <v>2072.6</v>
      </c>
      <c r="L124" s="45">
        <v>2212.7800000000002</v>
      </c>
      <c r="M124" s="45">
        <v>2028.26</v>
      </c>
      <c r="O124" s="45">
        <f>SUM(B124:M124)</f>
        <v>27238.1</v>
      </c>
      <c r="P124" s="45">
        <f>O124+200502</f>
        <v>227740.1</v>
      </c>
    </row>
    <row r="125" spans="1:16" ht="18" x14ac:dyDescent="0.25">
      <c r="A125" s="40" t="s">
        <v>104</v>
      </c>
      <c r="B125" s="41">
        <v>70</v>
      </c>
      <c r="C125" s="41">
        <v>70</v>
      </c>
      <c r="D125" s="41">
        <v>70</v>
      </c>
      <c r="E125" s="41">
        <v>70</v>
      </c>
      <c r="F125" s="41">
        <v>70</v>
      </c>
      <c r="G125" s="41">
        <v>70</v>
      </c>
      <c r="H125" s="41">
        <v>70</v>
      </c>
      <c r="I125" s="41">
        <v>70</v>
      </c>
      <c r="J125" s="41">
        <v>70</v>
      </c>
      <c r="K125" s="41">
        <v>70</v>
      </c>
      <c r="L125" s="41">
        <v>70</v>
      </c>
      <c r="M125" s="41">
        <v>70</v>
      </c>
      <c r="O125" s="41"/>
      <c r="P125" s="41"/>
    </row>
    <row r="126" spans="1:16" x14ac:dyDescent="0.25">
      <c r="A126" s="44" t="s">
        <v>97</v>
      </c>
      <c r="B126" s="45">
        <v>2978834.42</v>
      </c>
      <c r="C126" s="45">
        <v>3853432.5199999996</v>
      </c>
      <c r="D126" s="45">
        <v>3604288.3200000003</v>
      </c>
      <c r="E126" s="45">
        <v>3359091.01</v>
      </c>
      <c r="F126" s="45">
        <v>3893905.6</v>
      </c>
      <c r="G126" s="45">
        <v>3287814.46</v>
      </c>
      <c r="H126" s="45">
        <v>3666384.42</v>
      </c>
      <c r="I126" s="45">
        <v>3257946.05</v>
      </c>
      <c r="J126" s="45">
        <v>3913400.05</v>
      </c>
      <c r="K126" s="45">
        <v>3045448.27</v>
      </c>
      <c r="L126" s="45">
        <v>3991780.41</v>
      </c>
      <c r="M126" s="45">
        <v>3358233.87</v>
      </c>
      <c r="O126" s="45">
        <f t="shared" ref="O126:O132" si="4">SUM(B126:M126)</f>
        <v>42210559.399999999</v>
      </c>
      <c r="P126" s="45">
        <f>O126+149710467</f>
        <v>191921026.40000001</v>
      </c>
    </row>
    <row r="127" spans="1:16" ht="18" x14ac:dyDescent="0.25">
      <c r="A127" s="44" t="s">
        <v>102</v>
      </c>
      <c r="B127" s="45">
        <v>357460.13</v>
      </c>
      <c r="C127" s="45">
        <v>462411.9</v>
      </c>
      <c r="D127" s="45">
        <v>432514.61</v>
      </c>
      <c r="E127" s="45">
        <v>403090.92000000004</v>
      </c>
      <c r="F127" s="45">
        <v>467268.67</v>
      </c>
      <c r="G127" s="45">
        <v>394537.74</v>
      </c>
      <c r="H127" s="45">
        <v>439966.13</v>
      </c>
      <c r="I127" s="45">
        <v>390953.54000000004</v>
      </c>
      <c r="J127" s="45">
        <v>469608.01</v>
      </c>
      <c r="K127" s="45">
        <v>365453.79</v>
      </c>
      <c r="L127" s="45">
        <v>479013.66000000003</v>
      </c>
      <c r="M127" s="45">
        <v>402988.07</v>
      </c>
      <c r="O127" s="45">
        <f t="shared" si="4"/>
        <v>5065267.17</v>
      </c>
      <c r="P127" s="45">
        <f>O127+19444067</f>
        <v>24509334.170000002</v>
      </c>
    </row>
    <row r="128" spans="1:16" x14ac:dyDescent="0.25">
      <c r="A128" s="44" t="s">
        <v>88</v>
      </c>
      <c r="B128" s="45">
        <v>59576.69</v>
      </c>
      <c r="C128" s="45">
        <v>77068.66</v>
      </c>
      <c r="D128" s="45">
        <v>72085.77</v>
      </c>
      <c r="E128" s="45">
        <v>67181.819999999992</v>
      </c>
      <c r="F128" s="45">
        <v>77878.12000000001</v>
      </c>
      <c r="G128" s="45">
        <v>65756.299999999988</v>
      </c>
      <c r="H128" s="45">
        <v>73327.7</v>
      </c>
      <c r="I128" s="45">
        <v>65158.92</v>
      </c>
      <c r="J128" s="45">
        <v>78268.010000000009</v>
      </c>
      <c r="K128" s="45">
        <v>60908.97</v>
      </c>
      <c r="L128" s="45">
        <v>79835.62</v>
      </c>
      <c r="M128" s="45">
        <v>67164.680000000008</v>
      </c>
      <c r="O128" s="45">
        <f t="shared" si="4"/>
        <v>844211.26</v>
      </c>
      <c r="P128" s="45">
        <f>O128+2994210</f>
        <v>3838421.26</v>
      </c>
    </row>
    <row r="129" spans="1:16" ht="18" x14ac:dyDescent="0.25">
      <c r="A129" s="40" t="s">
        <v>105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O129" s="41"/>
      <c r="P129" s="41"/>
    </row>
    <row r="130" spans="1:16" x14ac:dyDescent="0.25">
      <c r="A130" s="44" t="s">
        <v>97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O130" s="45">
        <f t="shared" si="4"/>
        <v>0</v>
      </c>
      <c r="P130" s="45">
        <f>O130</f>
        <v>0</v>
      </c>
    </row>
    <row r="131" spans="1:16" ht="18" x14ac:dyDescent="0.25">
      <c r="A131" s="44" t="s">
        <v>102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O131" s="45">
        <f t="shared" si="4"/>
        <v>0</v>
      </c>
      <c r="P131" s="45">
        <f>O131</f>
        <v>0</v>
      </c>
    </row>
    <row r="132" spans="1:16" x14ac:dyDescent="0.25">
      <c r="A132" s="44" t="s">
        <v>88</v>
      </c>
      <c r="B132" s="45">
        <v>0</v>
      </c>
      <c r="C132" s="45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O132" s="45">
        <f t="shared" si="4"/>
        <v>0</v>
      </c>
      <c r="P132" s="45">
        <f>O132</f>
        <v>0</v>
      </c>
    </row>
    <row r="133" spans="1:16" ht="18" x14ac:dyDescent="0.25">
      <c r="A133" s="40" t="s">
        <v>106</v>
      </c>
      <c r="B133" s="41">
        <v>1</v>
      </c>
      <c r="C133" s="41">
        <v>1</v>
      </c>
      <c r="D133" s="41">
        <v>1</v>
      </c>
      <c r="E133" s="41">
        <v>1</v>
      </c>
      <c r="F133" s="41">
        <v>1</v>
      </c>
      <c r="G133" s="41">
        <v>1</v>
      </c>
      <c r="H133" s="41">
        <v>1</v>
      </c>
      <c r="I133" s="41">
        <v>1</v>
      </c>
      <c r="J133" s="41">
        <v>1</v>
      </c>
      <c r="K133" s="41">
        <v>1</v>
      </c>
      <c r="L133" s="41">
        <v>1</v>
      </c>
      <c r="M133" s="41">
        <v>1</v>
      </c>
      <c r="O133" s="41"/>
      <c r="P133" s="41"/>
    </row>
    <row r="134" spans="1:16" x14ac:dyDescent="0.25">
      <c r="A134" s="44" t="s">
        <v>97</v>
      </c>
      <c r="B134" s="45">
        <v>80994.5</v>
      </c>
      <c r="C134" s="45">
        <v>72489</v>
      </c>
      <c r="D134" s="45">
        <v>83941</v>
      </c>
      <c r="E134" s="45">
        <v>98738</v>
      </c>
      <c r="F134" s="45">
        <v>82177</v>
      </c>
      <c r="G134" s="45">
        <v>86199</v>
      </c>
      <c r="H134" s="45">
        <v>99101</v>
      </c>
      <c r="I134" s="45">
        <v>60795.5</v>
      </c>
      <c r="J134" s="45">
        <v>68943.5</v>
      </c>
      <c r="K134" s="45">
        <v>75393</v>
      </c>
      <c r="L134" s="45">
        <v>66283.5</v>
      </c>
      <c r="M134" s="45">
        <v>43414</v>
      </c>
      <c r="O134" s="45">
        <f>SUM(B134:M134)</f>
        <v>918469</v>
      </c>
      <c r="P134" s="45">
        <f>O134+369391</f>
        <v>1287860</v>
      </c>
    </row>
    <row r="135" spans="1:16" ht="18" x14ac:dyDescent="0.25">
      <c r="A135" s="44" t="s">
        <v>102</v>
      </c>
      <c r="B135" s="45">
        <v>37257.47</v>
      </c>
      <c r="C135" s="45">
        <v>33344.94</v>
      </c>
      <c r="D135" s="45">
        <v>38612.86</v>
      </c>
      <c r="E135" s="45">
        <v>45419.48</v>
      </c>
      <c r="F135" s="45">
        <v>37801.42</v>
      </c>
      <c r="G135" s="45">
        <v>39651.539999999994</v>
      </c>
      <c r="H135" s="45">
        <v>45586.46</v>
      </c>
      <c r="I135" s="45">
        <v>27965.929999999997</v>
      </c>
      <c r="J135" s="45">
        <v>31714.010000000002</v>
      </c>
      <c r="K135" s="45">
        <v>34680.78</v>
      </c>
      <c r="L135" s="45">
        <v>30490.41</v>
      </c>
      <c r="M135" s="45">
        <v>19970.439999999999</v>
      </c>
      <c r="O135" s="45">
        <f>SUM(B135:M135)</f>
        <v>422495.74</v>
      </c>
      <c r="P135" s="45">
        <f>O135+169920</f>
        <v>592415.74</v>
      </c>
    </row>
    <row r="136" spans="1:16" x14ac:dyDescent="0.25">
      <c r="A136" s="44" t="s">
        <v>88</v>
      </c>
      <c r="B136" s="45">
        <v>1619.89</v>
      </c>
      <c r="C136" s="45">
        <v>1449.78</v>
      </c>
      <c r="D136" s="45">
        <v>1678.82</v>
      </c>
      <c r="E136" s="45">
        <v>1974.76</v>
      </c>
      <c r="F136" s="45">
        <v>1643.54</v>
      </c>
      <c r="G136" s="45">
        <v>1723.98</v>
      </c>
      <c r="H136" s="45">
        <v>1982.02</v>
      </c>
      <c r="I136" s="45">
        <v>1215.9099999999999</v>
      </c>
      <c r="J136" s="45">
        <v>1378.8699999999997</v>
      </c>
      <c r="K136" s="45">
        <v>1507.8600000000001</v>
      </c>
      <c r="L136" s="45">
        <v>1325.6699999999998</v>
      </c>
      <c r="M136" s="45">
        <v>868.28</v>
      </c>
      <c r="O136" s="45">
        <f>SUM(B136:M136)</f>
        <v>18369.379999999997</v>
      </c>
      <c r="P136" s="45">
        <f>O136+7388</f>
        <v>25757.379999999997</v>
      </c>
    </row>
    <row r="137" spans="1:16" x14ac:dyDescent="0.25">
      <c r="A137" s="44"/>
      <c r="B137" s="45"/>
      <c r="C137" s="45"/>
      <c r="D137" s="45"/>
      <c r="E137" s="45"/>
      <c r="F137" s="45"/>
      <c r="G137" s="45"/>
      <c r="I137" s="45"/>
      <c r="J137" s="45"/>
      <c r="K137" s="45"/>
      <c r="L137" s="45"/>
      <c r="M137" s="45"/>
      <c r="O137" s="45"/>
      <c r="P137" s="45"/>
    </row>
    <row r="138" spans="1:16" x14ac:dyDescent="0.25">
      <c r="A138" s="53" t="s">
        <v>98</v>
      </c>
      <c r="B138" s="45"/>
      <c r="C138" s="45"/>
      <c r="D138" s="45"/>
      <c r="E138" s="45"/>
      <c r="F138" s="45"/>
      <c r="G138" s="45"/>
      <c r="I138" s="45"/>
      <c r="J138" s="45"/>
      <c r="K138" s="45"/>
      <c r="L138" s="45"/>
      <c r="M138" s="45"/>
      <c r="O138" s="45"/>
      <c r="P138" s="45"/>
    </row>
    <row r="139" spans="1:16" x14ac:dyDescent="0.25">
      <c r="A139" s="40" t="s">
        <v>87</v>
      </c>
      <c r="B139" s="41">
        <v>70</v>
      </c>
      <c r="C139" s="41">
        <v>70</v>
      </c>
      <c r="D139" s="41">
        <v>70</v>
      </c>
      <c r="E139" s="41">
        <v>70</v>
      </c>
      <c r="F139" s="41">
        <v>70</v>
      </c>
      <c r="G139" s="41">
        <v>70</v>
      </c>
      <c r="H139" s="41">
        <v>70</v>
      </c>
      <c r="I139" s="41">
        <v>70</v>
      </c>
      <c r="J139" s="41">
        <v>70</v>
      </c>
      <c r="K139" s="41">
        <v>70</v>
      </c>
      <c r="L139" s="41">
        <v>70</v>
      </c>
      <c r="M139" s="41">
        <v>70</v>
      </c>
      <c r="O139" s="41"/>
      <c r="P139" s="41"/>
    </row>
    <row r="140" spans="1:16" x14ac:dyDescent="0.25">
      <c r="A140" s="44" t="s">
        <v>97</v>
      </c>
      <c r="B140" s="45">
        <v>2408164.5</v>
      </c>
      <c r="C140" s="45">
        <v>2927867</v>
      </c>
      <c r="D140" s="45">
        <v>2486702.25</v>
      </c>
      <c r="E140" s="45">
        <v>2560703.25</v>
      </c>
      <c r="F140" s="45">
        <v>2465910.5</v>
      </c>
      <c r="G140" s="45">
        <v>3324889.75</v>
      </c>
      <c r="H140" s="45">
        <v>3105019.25</v>
      </c>
      <c r="I140" s="45">
        <v>2745342.5</v>
      </c>
      <c r="J140" s="45">
        <v>3292798</v>
      </c>
      <c r="K140" s="45">
        <v>3072208.75</v>
      </c>
      <c r="L140" s="45">
        <v>3001247.25</v>
      </c>
      <c r="M140" s="45">
        <v>3020486.4</v>
      </c>
      <c r="O140" s="45">
        <f>SUM(B140:M140)</f>
        <v>34411339.399999999</v>
      </c>
      <c r="P140" s="45">
        <f>O140+145698873</f>
        <v>180110212.40000001</v>
      </c>
    </row>
    <row r="141" spans="1:16" ht="18" x14ac:dyDescent="0.25">
      <c r="A141" s="44" t="s">
        <v>102</v>
      </c>
      <c r="B141" s="45">
        <v>288979.74000000005</v>
      </c>
      <c r="C141" s="45">
        <v>351344.04</v>
      </c>
      <c r="D141" s="45">
        <v>298404.27</v>
      </c>
      <c r="E141" s="45">
        <v>307284.38999999996</v>
      </c>
      <c r="F141" s="45">
        <v>295909.26</v>
      </c>
      <c r="G141" s="45">
        <v>398986.76999999996</v>
      </c>
      <c r="H141" s="45">
        <v>372602.31</v>
      </c>
      <c r="I141" s="45">
        <v>329441.09999999998</v>
      </c>
      <c r="J141" s="45">
        <v>395135.75999999995</v>
      </c>
      <c r="K141" s="45">
        <v>368665.05</v>
      </c>
      <c r="L141" s="45">
        <v>360149.66999999993</v>
      </c>
      <c r="M141" s="45">
        <v>362458.37000000005</v>
      </c>
      <c r="O141" s="45">
        <f>SUM(B141:M141)</f>
        <v>4129360.7299999995</v>
      </c>
      <c r="P141" s="45">
        <f>O141+18979007</f>
        <v>23108367.73</v>
      </c>
    </row>
    <row r="142" spans="1:16" x14ac:dyDescent="0.25">
      <c r="A142" s="44" t="s">
        <v>88</v>
      </c>
      <c r="B142" s="45">
        <v>48163.3</v>
      </c>
      <c r="C142" s="45">
        <v>58557.36</v>
      </c>
      <c r="D142" s="45">
        <v>49734.06</v>
      </c>
      <c r="E142" s="45">
        <v>51214.080000000002</v>
      </c>
      <c r="F142" s="45">
        <v>49318.22</v>
      </c>
      <c r="G142" s="45">
        <v>66497.81</v>
      </c>
      <c r="H142" s="45">
        <v>62100.4</v>
      </c>
      <c r="I142" s="45">
        <v>54906.869999999995</v>
      </c>
      <c r="J142" s="45">
        <v>65855.97</v>
      </c>
      <c r="K142" s="45">
        <v>61444.19</v>
      </c>
      <c r="L142" s="45">
        <v>60024.95</v>
      </c>
      <c r="M142" s="45">
        <v>60409.729999999996</v>
      </c>
      <c r="O142" s="45">
        <f>SUM(B142:M142)</f>
        <v>688226.94</v>
      </c>
      <c r="P142" s="45">
        <f>O142+2913978</f>
        <v>3602204.94</v>
      </c>
    </row>
    <row r="143" spans="1:16" ht="18" x14ac:dyDescent="0.25">
      <c r="A143" s="40" t="s">
        <v>103</v>
      </c>
      <c r="B143" s="41">
        <v>16</v>
      </c>
      <c r="C143" s="41">
        <v>16</v>
      </c>
      <c r="D143" s="41">
        <v>16</v>
      </c>
      <c r="E143" s="41">
        <v>16</v>
      </c>
      <c r="F143" s="41">
        <v>16</v>
      </c>
      <c r="G143" s="41">
        <v>16</v>
      </c>
      <c r="H143" s="41">
        <v>16</v>
      </c>
      <c r="I143" s="41">
        <v>16</v>
      </c>
      <c r="J143" s="41">
        <v>16</v>
      </c>
      <c r="K143" s="41">
        <v>16</v>
      </c>
      <c r="L143" s="41">
        <v>16</v>
      </c>
      <c r="M143" s="41">
        <v>16</v>
      </c>
      <c r="O143" s="41"/>
      <c r="P143" s="41"/>
    </row>
    <row r="144" spans="1:16" x14ac:dyDescent="0.25">
      <c r="A144" s="44" t="s">
        <v>97</v>
      </c>
      <c r="B144" s="45">
        <v>297034</v>
      </c>
      <c r="C144" s="45">
        <v>344934</v>
      </c>
      <c r="D144" s="45">
        <v>288641</v>
      </c>
      <c r="E144" s="45">
        <v>342108</v>
      </c>
      <c r="F144" s="45">
        <v>305764</v>
      </c>
      <c r="G144" s="45">
        <v>321046</v>
      </c>
      <c r="H144" s="45">
        <v>302369</v>
      </c>
      <c r="I144" s="45">
        <v>323109</v>
      </c>
      <c r="J144" s="45">
        <v>384790</v>
      </c>
      <c r="K144" s="45">
        <v>337041</v>
      </c>
      <c r="L144" s="45">
        <v>299127</v>
      </c>
      <c r="M144" s="45">
        <v>292318.15000000002</v>
      </c>
      <c r="O144" s="45">
        <f>SUM(B144:M144)</f>
        <v>3838281.15</v>
      </c>
      <c r="P144" s="45">
        <f>O144+17723187</f>
        <v>21561468.149999999</v>
      </c>
    </row>
    <row r="145" spans="1:16" ht="18" x14ac:dyDescent="0.25">
      <c r="A145" s="44" t="s">
        <v>102</v>
      </c>
      <c r="B145" s="45">
        <v>35644.080000000002</v>
      </c>
      <c r="C145" s="45">
        <v>41392.080000000002</v>
      </c>
      <c r="D145" s="45">
        <v>34636.92</v>
      </c>
      <c r="E145" s="45">
        <v>41052.959999999999</v>
      </c>
      <c r="F145" s="45">
        <v>36691.68</v>
      </c>
      <c r="G145" s="45">
        <v>38525.520000000004</v>
      </c>
      <c r="H145" s="45">
        <v>36284.28</v>
      </c>
      <c r="I145" s="45">
        <v>38773.08</v>
      </c>
      <c r="J145" s="45">
        <v>46174.8</v>
      </c>
      <c r="K145" s="45">
        <v>40444.92</v>
      </c>
      <c r="L145" s="45">
        <v>35895.240000000005</v>
      </c>
      <c r="M145" s="45">
        <v>35078.180000000008</v>
      </c>
      <c r="O145" s="45">
        <f>SUM(B145:M145)</f>
        <v>460593.74</v>
      </c>
      <c r="P145" s="45">
        <f>O145+2319043</f>
        <v>2779636.74</v>
      </c>
    </row>
    <row r="146" spans="1:16" x14ac:dyDescent="0.25">
      <c r="A146" s="44" t="s">
        <v>88</v>
      </c>
      <c r="B146" s="45">
        <v>5940.68</v>
      </c>
      <c r="C146" s="45">
        <v>6898.68</v>
      </c>
      <c r="D146" s="45">
        <v>5772.8200000000006</v>
      </c>
      <c r="E146" s="45">
        <v>6842.16</v>
      </c>
      <c r="F146" s="45">
        <v>6115.2800000000007</v>
      </c>
      <c r="G146" s="45">
        <v>6420.92</v>
      </c>
      <c r="H146" s="45">
        <v>6047.38</v>
      </c>
      <c r="I146" s="45">
        <v>6462.1799999999994</v>
      </c>
      <c r="J146" s="45">
        <v>7695.8</v>
      </c>
      <c r="K146" s="45">
        <v>6740.82</v>
      </c>
      <c r="L146" s="45">
        <v>5982.54</v>
      </c>
      <c r="M146" s="45">
        <v>5846.3599999999988</v>
      </c>
      <c r="O146" s="45">
        <f>SUM(B146:M146)</f>
        <v>76765.62</v>
      </c>
      <c r="P146" s="45">
        <f>O146+354464</f>
        <v>431229.62</v>
      </c>
    </row>
    <row r="147" spans="1:16" ht="18" x14ac:dyDescent="0.25">
      <c r="A147" s="40" t="s">
        <v>104</v>
      </c>
      <c r="B147" s="41">
        <v>54</v>
      </c>
      <c r="C147" s="41">
        <v>54</v>
      </c>
      <c r="D147" s="41">
        <v>54</v>
      </c>
      <c r="E147" s="41">
        <v>54</v>
      </c>
      <c r="F147" s="41">
        <v>54</v>
      </c>
      <c r="G147" s="41">
        <v>54</v>
      </c>
      <c r="H147" s="41">
        <v>54</v>
      </c>
      <c r="I147" s="41">
        <v>54</v>
      </c>
      <c r="J147" s="41">
        <v>54</v>
      </c>
      <c r="K147" s="41">
        <v>54</v>
      </c>
      <c r="L147" s="41">
        <v>54</v>
      </c>
      <c r="M147" s="41">
        <v>54</v>
      </c>
      <c r="O147" s="41"/>
      <c r="P147" s="41"/>
    </row>
    <row r="148" spans="1:16" x14ac:dyDescent="0.25">
      <c r="A148" s="44" t="s">
        <v>97</v>
      </c>
      <c r="B148" s="45">
        <v>2111130.5</v>
      </c>
      <c r="C148" s="45">
        <v>2582933</v>
      </c>
      <c r="D148" s="45">
        <v>2198061.25</v>
      </c>
      <c r="E148" s="45">
        <v>2218595.25</v>
      </c>
      <c r="F148" s="45">
        <v>2160146.5</v>
      </c>
      <c r="G148" s="45">
        <v>3003843.75</v>
      </c>
      <c r="H148" s="45">
        <v>2802650.25</v>
      </c>
      <c r="I148" s="45">
        <v>2422233.5</v>
      </c>
      <c r="J148" s="45">
        <v>2908008</v>
      </c>
      <c r="K148" s="45">
        <v>2735167.75</v>
      </c>
      <c r="L148" s="45">
        <v>2702120.25</v>
      </c>
      <c r="M148" s="45">
        <v>2728168.25</v>
      </c>
      <c r="O148" s="45">
        <f t="shared" ref="O148:O158" si="5">SUM(B148:M148)</f>
        <v>30573058.25</v>
      </c>
      <c r="P148" s="45">
        <f>O148+127902975</f>
        <v>158476033.25</v>
      </c>
    </row>
    <row r="149" spans="1:16" ht="18" x14ac:dyDescent="0.25">
      <c r="A149" s="44" t="s">
        <v>102</v>
      </c>
      <c r="B149" s="45">
        <v>253335.66</v>
      </c>
      <c r="C149" s="45">
        <v>309951.95999999996</v>
      </c>
      <c r="D149" s="45">
        <v>263767.34999999998</v>
      </c>
      <c r="E149" s="45">
        <v>266231.43</v>
      </c>
      <c r="F149" s="45">
        <v>259217.58000000002</v>
      </c>
      <c r="G149" s="45">
        <v>360461.25</v>
      </c>
      <c r="H149" s="45">
        <v>336318.02999999997</v>
      </c>
      <c r="I149" s="45">
        <v>290668.02</v>
      </c>
      <c r="J149" s="45">
        <v>348960.95999999996</v>
      </c>
      <c r="K149" s="45">
        <v>328220.13</v>
      </c>
      <c r="L149" s="45">
        <v>324254.43000000005</v>
      </c>
      <c r="M149" s="45">
        <v>327380.19</v>
      </c>
      <c r="O149" s="45">
        <f t="shared" si="5"/>
        <v>3668766.99</v>
      </c>
      <c r="P149" s="45">
        <f>O149+16651238</f>
        <v>20320004.990000002</v>
      </c>
    </row>
    <row r="150" spans="1:16" x14ac:dyDescent="0.25">
      <c r="A150" s="44" t="s">
        <v>88</v>
      </c>
      <c r="B150" s="45">
        <v>42222.619999999995</v>
      </c>
      <c r="C150" s="45">
        <v>51658.679999999993</v>
      </c>
      <c r="D150" s="45">
        <v>43961.24</v>
      </c>
      <c r="E150" s="45">
        <v>44371.92</v>
      </c>
      <c r="F150" s="45">
        <v>43202.939999999995</v>
      </c>
      <c r="G150" s="45">
        <v>60076.89</v>
      </c>
      <c r="H150" s="45">
        <v>56053.02</v>
      </c>
      <c r="I150" s="45">
        <v>48444.69</v>
      </c>
      <c r="J150" s="45">
        <v>58160.170000000006</v>
      </c>
      <c r="K150" s="45">
        <v>54703.37</v>
      </c>
      <c r="L150" s="45">
        <v>54042.409999999996</v>
      </c>
      <c r="M150" s="45">
        <v>54563.37</v>
      </c>
      <c r="O150" s="45">
        <f t="shared" si="5"/>
        <v>611461.31999999995</v>
      </c>
      <c r="P150" s="45">
        <f>O150+2558061</f>
        <v>3169522.32</v>
      </c>
    </row>
    <row r="151" spans="1:16" ht="18" x14ac:dyDescent="0.25">
      <c r="A151" s="40" t="s">
        <v>105</v>
      </c>
      <c r="B151" s="41">
        <v>0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O151" s="41"/>
      <c r="P151" s="41"/>
    </row>
    <row r="152" spans="1:16" x14ac:dyDescent="0.25">
      <c r="A152" s="44" t="s">
        <v>97</v>
      </c>
      <c r="B152" s="45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O152" s="45">
        <f t="shared" si="5"/>
        <v>0</v>
      </c>
      <c r="P152" s="45">
        <f>O152+72711</f>
        <v>72711</v>
      </c>
    </row>
    <row r="153" spans="1:16" ht="18" x14ac:dyDescent="0.25">
      <c r="A153" s="44" t="s">
        <v>102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O153" s="45">
        <f t="shared" si="5"/>
        <v>0</v>
      </c>
      <c r="P153" s="45">
        <f>O153+8725</f>
        <v>8725</v>
      </c>
    </row>
    <row r="154" spans="1:16" x14ac:dyDescent="0.25">
      <c r="A154" s="44" t="s">
        <v>88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O154" s="45">
        <f t="shared" si="5"/>
        <v>0</v>
      </c>
      <c r="P154" s="45">
        <f>O154+1454</f>
        <v>1454</v>
      </c>
    </row>
    <row r="155" spans="1:16" ht="18" x14ac:dyDescent="0.25">
      <c r="A155" s="40" t="s">
        <v>106</v>
      </c>
      <c r="B155" s="41">
        <v>0</v>
      </c>
      <c r="C155" s="41">
        <v>0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O155" s="41"/>
      <c r="P155" s="41"/>
    </row>
    <row r="156" spans="1:16" x14ac:dyDescent="0.25">
      <c r="A156" s="44" t="s">
        <v>97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O156" s="45">
        <f t="shared" si="5"/>
        <v>0</v>
      </c>
      <c r="P156" s="45">
        <f>O156</f>
        <v>0</v>
      </c>
    </row>
    <row r="157" spans="1:16" ht="18" x14ac:dyDescent="0.25">
      <c r="A157" s="44" t="s">
        <v>102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O157" s="45">
        <f t="shared" si="5"/>
        <v>0</v>
      </c>
      <c r="P157" s="45">
        <f>O157</f>
        <v>0</v>
      </c>
    </row>
    <row r="158" spans="1:16" x14ac:dyDescent="0.25">
      <c r="A158" s="44" t="s">
        <v>88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O158" s="45">
        <f t="shared" si="5"/>
        <v>0</v>
      </c>
      <c r="P158" s="45">
        <f>O158</f>
        <v>0</v>
      </c>
    </row>
    <row r="159" spans="1:16" x14ac:dyDescent="0.25">
      <c r="B159" s="45"/>
      <c r="C159" s="45"/>
      <c r="D159" s="45"/>
      <c r="E159" s="45"/>
      <c r="F159" s="45"/>
      <c r="G159" s="45"/>
      <c r="I159" s="45"/>
      <c r="J159" s="45"/>
      <c r="K159" s="45"/>
      <c r="L159" s="45"/>
      <c r="M159" s="45"/>
      <c r="O159" s="45"/>
      <c r="P159" s="45"/>
    </row>
    <row r="160" spans="1:16" x14ac:dyDescent="0.25">
      <c r="A160" s="53" t="s">
        <v>94</v>
      </c>
      <c r="B160" s="45"/>
      <c r="C160" s="45"/>
      <c r="D160" s="45"/>
      <c r="E160" s="45"/>
      <c r="F160" s="45"/>
      <c r="G160" s="45"/>
      <c r="I160" s="45"/>
      <c r="J160" s="45"/>
      <c r="K160" s="45"/>
      <c r="L160" s="45"/>
      <c r="M160" s="45"/>
      <c r="O160" s="45"/>
      <c r="P160" s="45"/>
    </row>
    <row r="161" spans="1:16" x14ac:dyDescent="0.25">
      <c r="A161" s="40" t="s">
        <v>87</v>
      </c>
      <c r="B161" s="41">
        <v>200</v>
      </c>
      <c r="C161" s="41">
        <v>200</v>
      </c>
      <c r="D161" s="41">
        <v>198.8</v>
      </c>
      <c r="E161" s="41">
        <v>206</v>
      </c>
      <c r="F161" s="41">
        <v>206</v>
      </c>
      <c r="G161" s="41">
        <v>206.4</v>
      </c>
      <c r="H161" s="41">
        <v>207</v>
      </c>
      <c r="I161" s="41">
        <v>207</v>
      </c>
      <c r="J161" s="41">
        <v>207</v>
      </c>
      <c r="K161" s="41">
        <v>207</v>
      </c>
      <c r="L161" s="41">
        <v>207</v>
      </c>
      <c r="M161" s="41">
        <v>207</v>
      </c>
      <c r="O161" s="41"/>
      <c r="P161" s="41"/>
    </row>
    <row r="162" spans="1:16" x14ac:dyDescent="0.25">
      <c r="A162" s="44" t="s">
        <v>97</v>
      </c>
      <c r="B162" s="45">
        <v>14443290.800000001</v>
      </c>
      <c r="C162" s="45">
        <v>17700541.439999998</v>
      </c>
      <c r="D162" s="45">
        <v>15083649.050000001</v>
      </c>
      <c r="E162" s="45">
        <v>16945239.859999999</v>
      </c>
      <c r="F162" s="45">
        <v>17128472.309999999</v>
      </c>
      <c r="G162" s="45">
        <v>20926257.09</v>
      </c>
      <c r="H162" s="45">
        <v>15996958.199999999</v>
      </c>
      <c r="I162" s="45">
        <v>15271421.450000001</v>
      </c>
      <c r="J162" s="45">
        <v>17143361.649999999</v>
      </c>
      <c r="K162" s="45">
        <v>16621575.220000001</v>
      </c>
      <c r="L162" s="45">
        <v>18210375.649999999</v>
      </c>
      <c r="M162" s="45">
        <v>17542516.600000001</v>
      </c>
      <c r="O162" s="45">
        <f>SUM(B162:M162)</f>
        <v>203013659.31999999</v>
      </c>
      <c r="P162" s="45">
        <f>O162+543567101</f>
        <v>746580760.31999993</v>
      </c>
    </row>
    <row r="163" spans="1:16" ht="18" x14ac:dyDescent="0.25">
      <c r="A163" s="44" t="s">
        <v>102</v>
      </c>
      <c r="B163" s="45">
        <v>1733194.9</v>
      </c>
      <c r="C163" s="45">
        <v>2124064.98</v>
      </c>
      <c r="D163" s="45">
        <v>1810037.8800000001</v>
      </c>
      <c r="E163" s="45">
        <v>2033428.7800000003</v>
      </c>
      <c r="F163" s="45">
        <v>2055416.6700000002</v>
      </c>
      <c r="G163" s="45">
        <v>2511150.84</v>
      </c>
      <c r="H163" s="45">
        <v>1919634.98</v>
      </c>
      <c r="I163" s="45">
        <v>1832570.5799999998</v>
      </c>
      <c r="J163" s="45">
        <v>2057203.4</v>
      </c>
      <c r="K163" s="45">
        <v>1994589.03</v>
      </c>
      <c r="L163" s="45">
        <v>2185245.08</v>
      </c>
      <c r="M163" s="45">
        <v>2105101.9900000002</v>
      </c>
      <c r="O163" s="45">
        <f>SUM(B163:M163)</f>
        <v>24361639.110000007</v>
      </c>
      <c r="P163" s="45">
        <f>O163+69377378</f>
        <v>93739017.110000014</v>
      </c>
    </row>
    <row r="164" spans="1:16" x14ac:dyDescent="0.25">
      <c r="A164" s="44" t="s">
        <v>88</v>
      </c>
      <c r="B164" s="45">
        <v>288865.82</v>
      </c>
      <c r="C164" s="45">
        <v>354010.83</v>
      </c>
      <c r="D164" s="45">
        <v>301672.98000000004</v>
      </c>
      <c r="E164" s="45">
        <v>338904.79000000004</v>
      </c>
      <c r="F164" s="45">
        <v>342569.44999999995</v>
      </c>
      <c r="G164" s="45">
        <v>418525.15</v>
      </c>
      <c r="H164" s="45">
        <v>319939.17</v>
      </c>
      <c r="I164" s="45">
        <v>305428.43</v>
      </c>
      <c r="J164" s="45">
        <v>342867.23</v>
      </c>
      <c r="K164" s="45">
        <v>332431.51</v>
      </c>
      <c r="L164" s="45">
        <v>364207.52999999997</v>
      </c>
      <c r="M164" s="45">
        <v>350850.34</v>
      </c>
      <c r="O164" s="45">
        <f>SUM(B164:M164)</f>
        <v>4060273.23</v>
      </c>
      <c r="P164" s="45">
        <f>O164+10871342</f>
        <v>14931615.23</v>
      </c>
    </row>
    <row r="165" spans="1:16" ht="18" x14ac:dyDescent="0.25">
      <c r="A165" s="40" t="s">
        <v>103</v>
      </c>
      <c r="B165" s="41">
        <v>36</v>
      </c>
      <c r="C165" s="41">
        <v>36</v>
      </c>
      <c r="D165" s="41">
        <v>30</v>
      </c>
      <c r="E165" s="41">
        <v>30</v>
      </c>
      <c r="F165" s="41">
        <v>30</v>
      </c>
      <c r="G165" s="41">
        <v>30</v>
      </c>
      <c r="H165" s="41">
        <v>30</v>
      </c>
      <c r="I165" s="41">
        <v>30</v>
      </c>
      <c r="J165" s="41">
        <v>30</v>
      </c>
      <c r="K165" s="41">
        <v>30</v>
      </c>
      <c r="L165" s="41">
        <v>30</v>
      </c>
      <c r="M165" s="41">
        <v>30</v>
      </c>
      <c r="O165" s="41"/>
      <c r="P165" s="41"/>
    </row>
    <row r="166" spans="1:16" x14ac:dyDescent="0.25">
      <c r="A166" s="44" t="s">
        <v>97</v>
      </c>
      <c r="B166" s="45">
        <v>914808</v>
      </c>
      <c r="C166" s="45">
        <v>966970</v>
      </c>
      <c r="D166" s="45">
        <v>727466</v>
      </c>
      <c r="E166" s="45">
        <v>803001</v>
      </c>
      <c r="F166" s="45">
        <v>921219</v>
      </c>
      <c r="G166" s="45">
        <v>961907</v>
      </c>
      <c r="H166" s="45">
        <v>946426</v>
      </c>
      <c r="I166" s="45">
        <v>867608</v>
      </c>
      <c r="J166" s="45">
        <v>996411</v>
      </c>
      <c r="K166" s="45">
        <v>1044023</v>
      </c>
      <c r="L166" s="45">
        <v>894636</v>
      </c>
      <c r="M166" s="45">
        <v>827852</v>
      </c>
      <c r="O166" s="45">
        <f>SUM(B166:M166)</f>
        <v>10872327</v>
      </c>
      <c r="P166" s="45">
        <f>O166+40855875</f>
        <v>51728202</v>
      </c>
    </row>
    <row r="167" spans="1:16" ht="18" x14ac:dyDescent="0.25">
      <c r="A167" s="44" t="s">
        <v>102</v>
      </c>
      <c r="B167" s="45">
        <v>109776.96000000001</v>
      </c>
      <c r="C167" s="45">
        <v>116036.40000000001</v>
      </c>
      <c r="D167" s="45">
        <v>87295.92</v>
      </c>
      <c r="E167" s="45">
        <v>96360.12</v>
      </c>
      <c r="F167" s="45">
        <v>110546.28</v>
      </c>
      <c r="G167" s="45">
        <v>115428.84</v>
      </c>
      <c r="H167" s="45">
        <v>113571.12</v>
      </c>
      <c r="I167" s="45">
        <v>104112.95999999999</v>
      </c>
      <c r="J167" s="45">
        <v>119569.31999999999</v>
      </c>
      <c r="K167" s="45">
        <v>125282.76000000001</v>
      </c>
      <c r="L167" s="45">
        <v>107356.32</v>
      </c>
      <c r="M167" s="45">
        <v>99342.24</v>
      </c>
      <c r="O167" s="45">
        <f>SUM(B167:M167)</f>
        <v>1304679.24</v>
      </c>
      <c r="P167" s="45">
        <f>O167+5285922</f>
        <v>6590601.2400000002</v>
      </c>
    </row>
    <row r="168" spans="1:16" x14ac:dyDescent="0.25">
      <c r="A168" s="44" t="s">
        <v>88</v>
      </c>
      <c r="B168" s="45">
        <v>18296.16</v>
      </c>
      <c r="C168" s="45">
        <v>19339.400000000001</v>
      </c>
      <c r="D168" s="45">
        <v>14549.32</v>
      </c>
      <c r="E168" s="45">
        <v>16060.02</v>
      </c>
      <c r="F168" s="45">
        <v>18424.38</v>
      </c>
      <c r="G168" s="45">
        <v>19238.14</v>
      </c>
      <c r="H168" s="45">
        <v>18928.52</v>
      </c>
      <c r="I168" s="45">
        <v>17352.16</v>
      </c>
      <c r="J168" s="45">
        <v>19928.22</v>
      </c>
      <c r="K168" s="45">
        <v>20880.46</v>
      </c>
      <c r="L168" s="45">
        <v>17892.72</v>
      </c>
      <c r="M168" s="45">
        <v>16557.04</v>
      </c>
      <c r="O168" s="45">
        <f>SUM(B168:M168)</f>
        <v>217446.54</v>
      </c>
      <c r="P168" s="45">
        <f>O168+817118</f>
        <v>1034564.54</v>
      </c>
    </row>
    <row r="169" spans="1:16" ht="18" x14ac:dyDescent="0.25">
      <c r="A169" s="40" t="s">
        <v>104</v>
      </c>
      <c r="B169" s="41">
        <v>164</v>
      </c>
      <c r="C169" s="41">
        <v>164</v>
      </c>
      <c r="D169" s="41">
        <v>168.8</v>
      </c>
      <c r="E169" s="41">
        <v>176</v>
      </c>
      <c r="F169" s="41">
        <v>176</v>
      </c>
      <c r="G169" s="41">
        <v>176.4</v>
      </c>
      <c r="H169" s="41">
        <v>177</v>
      </c>
      <c r="I169" s="41">
        <v>177</v>
      </c>
      <c r="J169" s="41">
        <v>177</v>
      </c>
      <c r="K169" s="41">
        <v>177</v>
      </c>
      <c r="L169" s="41">
        <v>177</v>
      </c>
      <c r="M169" s="41">
        <v>177</v>
      </c>
      <c r="O169" s="41"/>
      <c r="P169" s="41"/>
    </row>
    <row r="170" spans="1:16" x14ac:dyDescent="0.25">
      <c r="A170" s="44" t="s">
        <v>97</v>
      </c>
      <c r="B170" s="45">
        <v>13528482.800000001</v>
      </c>
      <c r="C170" s="45">
        <v>16733571.439999999</v>
      </c>
      <c r="D170" s="45">
        <v>14356183.050000001</v>
      </c>
      <c r="E170" s="45">
        <v>16142238.860000001</v>
      </c>
      <c r="F170" s="45">
        <v>16207253.309999999</v>
      </c>
      <c r="G170" s="45">
        <v>19964350.09</v>
      </c>
      <c r="H170" s="45">
        <v>15050532.199999999</v>
      </c>
      <c r="I170" s="45">
        <v>14403813.450000001</v>
      </c>
      <c r="J170" s="45">
        <v>16146950.65</v>
      </c>
      <c r="K170" s="45">
        <v>15577552.220000001</v>
      </c>
      <c r="L170" s="45">
        <v>17315739.649999999</v>
      </c>
      <c r="M170" s="45">
        <v>16714664.6</v>
      </c>
      <c r="O170" s="45">
        <f t="shared" ref="O170:O180" si="6">SUM(B170:M170)</f>
        <v>192141332.32000002</v>
      </c>
      <c r="P170" s="45">
        <f>O170+502711226</f>
        <v>694852558.32000005</v>
      </c>
    </row>
    <row r="171" spans="1:16" ht="18" x14ac:dyDescent="0.25">
      <c r="A171" s="44" t="s">
        <v>102</v>
      </c>
      <c r="B171" s="45">
        <v>1623417.9400000002</v>
      </c>
      <c r="C171" s="45">
        <v>2008028.58</v>
      </c>
      <c r="D171" s="45">
        <v>1722741.96</v>
      </c>
      <c r="E171" s="45">
        <v>1937068.66</v>
      </c>
      <c r="F171" s="45">
        <v>1944870.3900000001</v>
      </c>
      <c r="G171" s="45">
        <v>2395722</v>
      </c>
      <c r="H171" s="45">
        <v>1806063.8599999999</v>
      </c>
      <c r="I171" s="45">
        <v>1728457.6199999999</v>
      </c>
      <c r="J171" s="45">
        <v>1937634.08</v>
      </c>
      <c r="K171" s="45">
        <v>1869306.27</v>
      </c>
      <c r="L171" s="45">
        <v>2077888.76</v>
      </c>
      <c r="M171" s="45">
        <v>2005759.75</v>
      </c>
      <c r="O171" s="45">
        <f t="shared" si="6"/>
        <v>23056959.870000001</v>
      </c>
      <c r="P171" s="45">
        <f>O171+64091456</f>
        <v>87148415.870000005</v>
      </c>
    </row>
    <row r="172" spans="1:16" x14ac:dyDescent="0.25">
      <c r="A172" s="44" t="s">
        <v>88</v>
      </c>
      <c r="B172" s="45">
        <v>270569.66000000003</v>
      </c>
      <c r="C172" s="45">
        <v>334671.43000000005</v>
      </c>
      <c r="D172" s="45">
        <v>287123.66000000003</v>
      </c>
      <c r="E172" s="45">
        <v>322844.77</v>
      </c>
      <c r="F172" s="45">
        <v>324145.07</v>
      </c>
      <c r="G172" s="45">
        <v>399287.01</v>
      </c>
      <c r="H172" s="45">
        <v>301010.64999999997</v>
      </c>
      <c r="I172" s="45">
        <v>288076.26999999996</v>
      </c>
      <c r="J172" s="45">
        <v>322939.00999999995</v>
      </c>
      <c r="K172" s="45">
        <v>311551.05</v>
      </c>
      <c r="L172" s="45">
        <v>346314.80999999994</v>
      </c>
      <c r="M172" s="45">
        <v>334293.3</v>
      </c>
      <c r="O172" s="45">
        <f t="shared" si="6"/>
        <v>3842826.6899999995</v>
      </c>
      <c r="P172" s="45">
        <f>O172+10054225</f>
        <v>13897051.689999999</v>
      </c>
    </row>
    <row r="173" spans="1:16" ht="18" x14ac:dyDescent="0.25">
      <c r="A173" s="40" t="s">
        <v>105</v>
      </c>
      <c r="B173" s="41">
        <v>0</v>
      </c>
      <c r="C173" s="41">
        <v>0</v>
      </c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O173" s="41"/>
      <c r="P173" s="41"/>
    </row>
    <row r="174" spans="1:16" x14ac:dyDescent="0.25">
      <c r="A174" s="44" t="s">
        <v>97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O174" s="45">
        <f t="shared" si="6"/>
        <v>0</v>
      </c>
      <c r="P174" s="45">
        <f>O174</f>
        <v>0</v>
      </c>
    </row>
    <row r="175" spans="1:16" ht="18" x14ac:dyDescent="0.25">
      <c r="A175" s="44" t="s">
        <v>102</v>
      </c>
      <c r="B175" s="45">
        <v>0</v>
      </c>
      <c r="C175" s="45">
        <v>0</v>
      </c>
      <c r="D175" s="45">
        <v>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O175" s="45">
        <f t="shared" si="6"/>
        <v>0</v>
      </c>
      <c r="P175" s="45">
        <f>O175</f>
        <v>0</v>
      </c>
    </row>
    <row r="176" spans="1:16" x14ac:dyDescent="0.25">
      <c r="A176" s="44" t="s">
        <v>88</v>
      </c>
      <c r="B176" s="45">
        <v>0</v>
      </c>
      <c r="C176" s="45">
        <v>0</v>
      </c>
      <c r="D176" s="45">
        <v>0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5">
        <v>0</v>
      </c>
      <c r="O176" s="45">
        <f t="shared" si="6"/>
        <v>0</v>
      </c>
      <c r="P176" s="45">
        <f>O176</f>
        <v>0</v>
      </c>
    </row>
    <row r="177" spans="1:16" ht="18" x14ac:dyDescent="0.25">
      <c r="A177" s="40" t="s">
        <v>106</v>
      </c>
      <c r="B177" s="41">
        <v>0</v>
      </c>
      <c r="C177" s="41">
        <v>0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O177" s="41"/>
      <c r="P177" s="41"/>
    </row>
    <row r="178" spans="1:16" x14ac:dyDescent="0.25">
      <c r="A178" s="44" t="s">
        <v>97</v>
      </c>
      <c r="B178" s="45">
        <v>0</v>
      </c>
      <c r="C178" s="45">
        <v>0</v>
      </c>
      <c r="D178" s="45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5">
        <v>0</v>
      </c>
      <c r="O178" s="45">
        <f t="shared" si="6"/>
        <v>0</v>
      </c>
      <c r="P178" s="45">
        <f>O178</f>
        <v>0</v>
      </c>
    </row>
    <row r="179" spans="1:16" ht="18" x14ac:dyDescent="0.25">
      <c r="A179" s="44" t="s">
        <v>102</v>
      </c>
      <c r="B179" s="45">
        <v>0</v>
      </c>
      <c r="C179" s="45">
        <v>0</v>
      </c>
      <c r="D179" s="45">
        <v>0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45">
        <v>0</v>
      </c>
      <c r="O179" s="45">
        <f t="shared" si="6"/>
        <v>0</v>
      </c>
      <c r="P179" s="45">
        <f>O179</f>
        <v>0</v>
      </c>
    </row>
    <row r="180" spans="1:16" x14ac:dyDescent="0.25">
      <c r="A180" s="44" t="s">
        <v>88</v>
      </c>
      <c r="B180" s="45">
        <v>0</v>
      </c>
      <c r="C180" s="45">
        <v>0</v>
      </c>
      <c r="D180" s="45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O180" s="45">
        <f t="shared" si="6"/>
        <v>0</v>
      </c>
      <c r="P180" s="45">
        <f>O180</f>
        <v>0</v>
      </c>
    </row>
    <row r="181" spans="1:16" x14ac:dyDescent="0.25">
      <c r="B181" s="41"/>
      <c r="C181" s="41"/>
      <c r="D181" s="41"/>
      <c r="E181" s="41"/>
      <c r="F181" s="41"/>
      <c r="G181" s="41"/>
      <c r="I181" s="41"/>
      <c r="J181" s="41"/>
      <c r="K181" s="41"/>
      <c r="L181" s="41"/>
      <c r="M181" s="41"/>
      <c r="O181" s="41"/>
      <c r="P181" s="41"/>
    </row>
    <row r="182" spans="1:16" x14ac:dyDescent="0.25">
      <c r="A182" s="53" t="s">
        <v>95</v>
      </c>
      <c r="B182" s="45"/>
      <c r="C182" s="45"/>
      <c r="D182" s="45"/>
      <c r="E182" s="45"/>
      <c r="F182" s="45"/>
      <c r="G182" s="45"/>
      <c r="I182" s="45"/>
      <c r="J182" s="45"/>
      <c r="K182" s="45"/>
      <c r="L182" s="45"/>
      <c r="M182" s="45"/>
      <c r="O182" s="45"/>
      <c r="P182" s="45"/>
    </row>
    <row r="183" spans="1:16" x14ac:dyDescent="0.25">
      <c r="A183" s="40" t="s">
        <v>87</v>
      </c>
      <c r="B183" s="41">
        <v>113</v>
      </c>
      <c r="C183" s="41">
        <v>113</v>
      </c>
      <c r="D183" s="41">
        <v>113</v>
      </c>
      <c r="E183" s="41">
        <v>113</v>
      </c>
      <c r="F183" s="41">
        <v>113</v>
      </c>
      <c r="G183" s="41">
        <v>113</v>
      </c>
      <c r="H183" s="41">
        <v>113</v>
      </c>
      <c r="I183" s="41">
        <v>113</v>
      </c>
      <c r="J183" s="41">
        <v>113</v>
      </c>
      <c r="K183" s="41">
        <v>113.6</v>
      </c>
      <c r="L183" s="41">
        <v>114</v>
      </c>
      <c r="M183" s="41">
        <v>114</v>
      </c>
      <c r="O183" s="41"/>
      <c r="P183" s="41"/>
    </row>
    <row r="184" spans="1:16" x14ac:dyDescent="0.25">
      <c r="A184" s="44" t="s">
        <v>97</v>
      </c>
      <c r="B184" s="45">
        <v>5683311.6799999997</v>
      </c>
      <c r="C184" s="45">
        <v>6241369.5500000007</v>
      </c>
      <c r="D184" s="45">
        <v>4991833.74</v>
      </c>
      <c r="E184" s="45">
        <v>5864438.3600000003</v>
      </c>
      <c r="F184" s="45">
        <v>6111884.0999999996</v>
      </c>
      <c r="G184" s="45">
        <v>5690284.9900000002</v>
      </c>
      <c r="H184" s="45">
        <v>6684380.8499999996</v>
      </c>
      <c r="I184" s="45">
        <v>6292536.2199999997</v>
      </c>
      <c r="J184" s="45">
        <v>5985998.7400000002</v>
      </c>
      <c r="K184" s="45">
        <v>6260396.8499999996</v>
      </c>
      <c r="L184" s="45">
        <v>5102673.16</v>
      </c>
      <c r="M184" s="45">
        <v>5524073.3300000001</v>
      </c>
      <c r="O184" s="45">
        <f>SUM(B184:M184)</f>
        <v>70433181.570000008</v>
      </c>
      <c r="P184" s="45">
        <f>O184+265409502</f>
        <v>335842683.56999999</v>
      </c>
    </row>
    <row r="185" spans="1:16" ht="18" x14ac:dyDescent="0.25">
      <c r="A185" s="44" t="s">
        <v>102</v>
      </c>
      <c r="B185" s="45">
        <v>681997.39999999991</v>
      </c>
      <c r="C185" s="45">
        <v>748964.34</v>
      </c>
      <c r="D185" s="45">
        <v>599020.05999999994</v>
      </c>
      <c r="E185" s="45">
        <v>703732.6</v>
      </c>
      <c r="F185" s="45">
        <v>733426.09000000008</v>
      </c>
      <c r="G185" s="45">
        <v>682834.2</v>
      </c>
      <c r="H185" s="45">
        <v>802125.71</v>
      </c>
      <c r="I185" s="45">
        <v>755104.35</v>
      </c>
      <c r="J185" s="45">
        <v>718319.84</v>
      </c>
      <c r="K185" s="45">
        <v>751247.62</v>
      </c>
      <c r="L185" s="45">
        <v>612320.79</v>
      </c>
      <c r="M185" s="45">
        <v>662888.80000000005</v>
      </c>
      <c r="O185" s="45">
        <f>SUM(B185:M185)</f>
        <v>8451981.8000000007</v>
      </c>
      <c r="P185" s="45">
        <f>O185+34434944</f>
        <v>42886925.799999997</v>
      </c>
    </row>
    <row r="186" spans="1:16" x14ac:dyDescent="0.25">
      <c r="A186" s="44" t="s">
        <v>88</v>
      </c>
      <c r="B186" s="45">
        <v>113666.23999999999</v>
      </c>
      <c r="C186" s="45">
        <v>124827.38999999998</v>
      </c>
      <c r="D186" s="45">
        <v>99836.67</v>
      </c>
      <c r="E186" s="45">
        <v>117288.76999999999</v>
      </c>
      <c r="F186" s="45">
        <v>122237.68999999999</v>
      </c>
      <c r="G186" s="45">
        <v>113805.7</v>
      </c>
      <c r="H186" s="45">
        <v>133687.60999999999</v>
      </c>
      <c r="I186" s="45">
        <v>125850.72999999998</v>
      </c>
      <c r="J186" s="45">
        <v>119719.98999999999</v>
      </c>
      <c r="K186" s="45">
        <v>125207.94000000002</v>
      </c>
      <c r="L186" s="45">
        <v>102053.45999999999</v>
      </c>
      <c r="M186" s="45">
        <v>110481.45999999999</v>
      </c>
      <c r="O186" s="45">
        <f>SUM(B186:M186)</f>
        <v>1408663.6499999997</v>
      </c>
      <c r="P186" s="45">
        <f>O186+5308191</f>
        <v>6716854.6499999994</v>
      </c>
    </row>
    <row r="187" spans="1:16" ht="18" x14ac:dyDescent="0.25">
      <c r="A187" s="40" t="s">
        <v>103</v>
      </c>
      <c r="B187" s="41">
        <v>30</v>
      </c>
      <c r="C187" s="41">
        <v>30</v>
      </c>
      <c r="D187" s="41">
        <v>30</v>
      </c>
      <c r="E187" s="41">
        <v>30</v>
      </c>
      <c r="F187" s="41">
        <v>30</v>
      </c>
      <c r="G187" s="41">
        <v>30</v>
      </c>
      <c r="H187" s="41">
        <v>30</v>
      </c>
      <c r="I187" s="41">
        <v>30</v>
      </c>
      <c r="J187" s="41">
        <v>30</v>
      </c>
      <c r="K187" s="41">
        <v>30</v>
      </c>
      <c r="L187" s="41">
        <v>30</v>
      </c>
      <c r="M187" s="41">
        <v>30</v>
      </c>
      <c r="O187" s="41"/>
      <c r="P187" s="41"/>
    </row>
    <row r="188" spans="1:16" x14ac:dyDescent="0.25">
      <c r="A188" s="44" t="s">
        <v>97</v>
      </c>
      <c r="B188" s="45">
        <v>534966</v>
      </c>
      <c r="C188" s="45">
        <v>593004</v>
      </c>
      <c r="D188" s="45">
        <v>484418</v>
      </c>
      <c r="E188" s="45">
        <v>560432</v>
      </c>
      <c r="F188" s="45">
        <v>680529</v>
      </c>
      <c r="G188" s="45">
        <v>659060</v>
      </c>
      <c r="H188" s="45">
        <v>639844</v>
      </c>
      <c r="I188" s="45">
        <v>573756</v>
      </c>
      <c r="J188" s="45">
        <v>598970</v>
      </c>
      <c r="K188" s="45">
        <v>555951</v>
      </c>
      <c r="L188" s="45">
        <v>529550</v>
      </c>
      <c r="M188" s="45">
        <v>569243.11</v>
      </c>
      <c r="O188" s="45">
        <f>SUM(B188:M188)</f>
        <v>6979723.1100000003</v>
      </c>
      <c r="P188" s="45">
        <f>O188+28610999</f>
        <v>35590722.109999999</v>
      </c>
    </row>
    <row r="189" spans="1:16" ht="18" x14ac:dyDescent="0.25">
      <c r="A189" s="44" t="s">
        <v>102</v>
      </c>
      <c r="B189" s="45">
        <v>64195.920000000006</v>
      </c>
      <c r="C189" s="45">
        <v>71160.479999999996</v>
      </c>
      <c r="D189" s="45">
        <v>58130.16</v>
      </c>
      <c r="E189" s="45">
        <v>67251.839999999997</v>
      </c>
      <c r="F189" s="45">
        <v>81663.48</v>
      </c>
      <c r="G189" s="45">
        <v>79087.200000000012</v>
      </c>
      <c r="H189" s="45">
        <v>76781.279999999999</v>
      </c>
      <c r="I189" s="45">
        <v>68850.720000000001</v>
      </c>
      <c r="J189" s="45">
        <v>71876.400000000009</v>
      </c>
      <c r="K189" s="45">
        <v>66714.12</v>
      </c>
      <c r="L189" s="45">
        <v>63546</v>
      </c>
      <c r="M189" s="45">
        <v>68309.17</v>
      </c>
      <c r="O189" s="45">
        <f>SUM(B189:M189)</f>
        <v>837566.77</v>
      </c>
      <c r="P189" s="45">
        <f>O189+3738605</f>
        <v>4576171.7699999996</v>
      </c>
    </row>
    <row r="190" spans="1:16" x14ac:dyDescent="0.25">
      <c r="A190" s="44" t="s">
        <v>88</v>
      </c>
      <c r="B190" s="45">
        <v>10699.32</v>
      </c>
      <c r="C190" s="45">
        <v>11860.08</v>
      </c>
      <c r="D190" s="45">
        <v>9688.36</v>
      </c>
      <c r="E190" s="45">
        <v>11208.640000000001</v>
      </c>
      <c r="F190" s="45">
        <v>13610.58</v>
      </c>
      <c r="G190" s="45">
        <v>13181.2</v>
      </c>
      <c r="H190" s="45">
        <v>12796.88</v>
      </c>
      <c r="I190" s="45">
        <v>11475.119999999999</v>
      </c>
      <c r="J190" s="45">
        <v>11979.4</v>
      </c>
      <c r="K190" s="45">
        <v>11119.02</v>
      </c>
      <c r="L190" s="45">
        <v>10591</v>
      </c>
      <c r="M190" s="45">
        <v>11384.86</v>
      </c>
      <c r="O190" s="45">
        <f>SUM(B190:M190)</f>
        <v>139594.46000000002</v>
      </c>
      <c r="P190" s="45">
        <f>O190+572220</f>
        <v>711814.46</v>
      </c>
    </row>
    <row r="191" spans="1:16" ht="18" x14ac:dyDescent="0.25">
      <c r="A191" s="40" t="s">
        <v>104</v>
      </c>
      <c r="B191" s="41">
        <v>83</v>
      </c>
      <c r="C191" s="41">
        <v>83</v>
      </c>
      <c r="D191" s="41">
        <v>83</v>
      </c>
      <c r="E191" s="41">
        <v>83</v>
      </c>
      <c r="F191" s="41">
        <v>83</v>
      </c>
      <c r="G191" s="41">
        <v>83</v>
      </c>
      <c r="H191" s="41">
        <v>83</v>
      </c>
      <c r="I191" s="41">
        <v>83</v>
      </c>
      <c r="J191" s="41">
        <v>83</v>
      </c>
      <c r="K191" s="41">
        <v>83.6</v>
      </c>
      <c r="L191" s="41">
        <v>84</v>
      </c>
      <c r="M191" s="41">
        <v>84</v>
      </c>
      <c r="O191" s="41"/>
      <c r="P191" s="41"/>
    </row>
    <row r="192" spans="1:16" x14ac:dyDescent="0.25">
      <c r="A192" s="44" t="s">
        <v>97</v>
      </c>
      <c r="B192" s="45">
        <v>5148345.68</v>
      </c>
      <c r="C192" s="45">
        <v>5648365.5500000007</v>
      </c>
      <c r="D192" s="45">
        <v>4507415.74</v>
      </c>
      <c r="E192" s="45">
        <v>5304006.3600000003</v>
      </c>
      <c r="F192" s="45">
        <v>5431355.0999999996</v>
      </c>
      <c r="G192" s="45">
        <v>5031224.99</v>
      </c>
      <c r="H192" s="45">
        <v>6044536.8499999996</v>
      </c>
      <c r="I192" s="45">
        <v>5718780.2199999997</v>
      </c>
      <c r="J192" s="45">
        <v>5387028.7400000002</v>
      </c>
      <c r="K192" s="45">
        <v>5704445.8499999996</v>
      </c>
      <c r="L192" s="45">
        <v>4573123.16</v>
      </c>
      <c r="M192" s="45">
        <v>4954830.22</v>
      </c>
      <c r="O192" s="45">
        <f t="shared" ref="O192:O202" si="7">SUM(B192:M192)</f>
        <v>63453458.460000008</v>
      </c>
      <c r="P192" s="45">
        <f>O192+234926162</f>
        <v>298379620.46000004</v>
      </c>
    </row>
    <row r="193" spans="1:16" ht="18" x14ac:dyDescent="0.25">
      <c r="A193" s="44" t="s">
        <v>102</v>
      </c>
      <c r="B193" s="45">
        <v>617801.48</v>
      </c>
      <c r="C193" s="45">
        <v>677803.86</v>
      </c>
      <c r="D193" s="45">
        <v>540889.9</v>
      </c>
      <c r="E193" s="45">
        <v>636480.76</v>
      </c>
      <c r="F193" s="45">
        <v>651762.61</v>
      </c>
      <c r="G193" s="45">
        <v>603747</v>
      </c>
      <c r="H193" s="45">
        <v>725344.43</v>
      </c>
      <c r="I193" s="45">
        <v>686253.62999999989</v>
      </c>
      <c r="J193" s="45">
        <v>646443.44000000006</v>
      </c>
      <c r="K193" s="45">
        <v>684533.5</v>
      </c>
      <c r="L193" s="45">
        <v>548774.79</v>
      </c>
      <c r="M193" s="45">
        <v>594579.63</v>
      </c>
      <c r="O193" s="45">
        <f t="shared" si="7"/>
        <v>7614415.0300000003</v>
      </c>
      <c r="P193" s="45">
        <f>O193+30434212</f>
        <v>38048627.030000001</v>
      </c>
    </row>
    <row r="194" spans="1:16" x14ac:dyDescent="0.25">
      <c r="A194" s="44" t="s">
        <v>88</v>
      </c>
      <c r="B194" s="45">
        <v>102966.92</v>
      </c>
      <c r="C194" s="45">
        <v>112967.31</v>
      </c>
      <c r="D194" s="45">
        <v>90148.31</v>
      </c>
      <c r="E194" s="45">
        <v>106080.13</v>
      </c>
      <c r="F194" s="45">
        <v>108627.11</v>
      </c>
      <c r="G194" s="45">
        <v>100624.5</v>
      </c>
      <c r="H194" s="45">
        <v>120890.73</v>
      </c>
      <c r="I194" s="45">
        <v>114375.61</v>
      </c>
      <c r="J194" s="45">
        <v>107740.59000000001</v>
      </c>
      <c r="K194" s="45">
        <v>114088.92</v>
      </c>
      <c r="L194" s="45">
        <v>91462.459999999992</v>
      </c>
      <c r="M194" s="45">
        <v>99096.599999999991</v>
      </c>
      <c r="O194" s="45">
        <f t="shared" si="7"/>
        <v>1269069.19</v>
      </c>
      <c r="P194" s="45">
        <f>O194+4698524</f>
        <v>5967593.1899999995</v>
      </c>
    </row>
    <row r="195" spans="1:16" ht="18" x14ac:dyDescent="0.25">
      <c r="A195" s="40" t="s">
        <v>105</v>
      </c>
      <c r="B195" s="41">
        <v>0</v>
      </c>
      <c r="C195" s="41">
        <v>0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O195" s="41"/>
      <c r="P195" s="41"/>
    </row>
    <row r="196" spans="1:16" x14ac:dyDescent="0.25">
      <c r="A196" s="44" t="s">
        <v>97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O196" s="45">
        <f t="shared" si="7"/>
        <v>0</v>
      </c>
      <c r="P196" s="45">
        <f>O196+1872340</f>
        <v>1872340</v>
      </c>
    </row>
    <row r="197" spans="1:16" ht="18" x14ac:dyDescent="0.25">
      <c r="A197" s="44" t="s">
        <v>102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O197" s="45">
        <f t="shared" si="7"/>
        <v>0</v>
      </c>
      <c r="P197" s="45">
        <f>O197+262128</f>
        <v>262128</v>
      </c>
    </row>
    <row r="198" spans="1:16" x14ac:dyDescent="0.25">
      <c r="A198" s="44" t="s">
        <v>88</v>
      </c>
      <c r="B198" s="45">
        <v>0</v>
      </c>
      <c r="C198" s="45">
        <v>0</v>
      </c>
      <c r="D198" s="45">
        <v>0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O198" s="45">
        <f t="shared" si="7"/>
        <v>0</v>
      </c>
      <c r="P198" s="45">
        <f>O198+37447</f>
        <v>37447</v>
      </c>
    </row>
    <row r="199" spans="1:16" ht="18" x14ac:dyDescent="0.25">
      <c r="A199" s="40" t="s">
        <v>106</v>
      </c>
      <c r="B199" s="41">
        <v>0</v>
      </c>
      <c r="C199" s="41">
        <v>0</v>
      </c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O199" s="41"/>
      <c r="P199" s="41"/>
    </row>
    <row r="200" spans="1:16" x14ac:dyDescent="0.25">
      <c r="A200" s="44" t="s">
        <v>97</v>
      </c>
      <c r="B200" s="45">
        <v>0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O200" s="45">
        <f t="shared" si="7"/>
        <v>0</v>
      </c>
      <c r="P200" s="45">
        <f>O200</f>
        <v>0</v>
      </c>
    </row>
    <row r="201" spans="1:16" ht="18" x14ac:dyDescent="0.25">
      <c r="A201" s="44" t="s">
        <v>102</v>
      </c>
      <c r="B201" s="45">
        <v>0</v>
      </c>
      <c r="C201" s="45">
        <v>0</v>
      </c>
      <c r="D201" s="45">
        <v>0</v>
      </c>
      <c r="E201" s="45">
        <v>0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O201" s="45">
        <f t="shared" si="7"/>
        <v>0</v>
      </c>
      <c r="P201" s="45">
        <f>O201</f>
        <v>0</v>
      </c>
    </row>
    <row r="202" spans="1:16" x14ac:dyDescent="0.25">
      <c r="A202" s="44" t="s">
        <v>88</v>
      </c>
      <c r="B202" s="45">
        <v>0</v>
      </c>
      <c r="C202" s="45">
        <v>0</v>
      </c>
      <c r="D202" s="45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O202" s="45">
        <f t="shared" si="7"/>
        <v>0</v>
      </c>
      <c r="P202" s="45">
        <f>O202</f>
        <v>0</v>
      </c>
    </row>
    <row r="203" spans="1:16" x14ac:dyDescent="0.25">
      <c r="A203" s="44"/>
      <c r="B203" s="45"/>
      <c r="C203" s="45"/>
      <c r="D203" s="45"/>
      <c r="E203" s="45"/>
      <c r="F203" s="45"/>
      <c r="G203" s="45"/>
      <c r="I203" s="45"/>
      <c r="J203" s="45"/>
      <c r="K203" s="45"/>
      <c r="L203" s="45"/>
      <c r="M203" s="45"/>
      <c r="O203" s="45"/>
      <c r="P203" s="45"/>
    </row>
    <row r="204" spans="1:16" x14ac:dyDescent="0.25">
      <c r="A204" s="53" t="s">
        <v>99</v>
      </c>
      <c r="B204" s="41"/>
      <c r="C204" s="41"/>
      <c r="D204" s="41"/>
      <c r="E204" s="41"/>
      <c r="F204" s="41"/>
      <c r="G204" s="41"/>
      <c r="I204" s="41"/>
      <c r="J204" s="41"/>
      <c r="K204" s="41"/>
      <c r="L204" s="41"/>
      <c r="M204" s="41"/>
      <c r="O204" s="41"/>
      <c r="P204" s="41"/>
    </row>
    <row r="205" spans="1:16" x14ac:dyDescent="0.25">
      <c r="A205" s="40" t="s">
        <v>87</v>
      </c>
      <c r="B205" s="41">
        <v>61</v>
      </c>
      <c r="C205" s="41">
        <v>61</v>
      </c>
      <c r="D205" s="41">
        <v>61</v>
      </c>
      <c r="E205" s="41">
        <v>61</v>
      </c>
      <c r="F205" s="41">
        <v>84</v>
      </c>
      <c r="G205" s="41">
        <v>84</v>
      </c>
      <c r="H205" s="41">
        <v>84</v>
      </c>
      <c r="I205" s="41">
        <v>84</v>
      </c>
      <c r="J205" s="41">
        <v>84</v>
      </c>
      <c r="K205" s="41">
        <v>84</v>
      </c>
      <c r="L205" s="41">
        <v>84</v>
      </c>
      <c r="M205" s="41">
        <v>84</v>
      </c>
      <c r="O205" s="41"/>
      <c r="P205" s="41"/>
    </row>
    <row r="206" spans="1:16" x14ac:dyDescent="0.25">
      <c r="A206" s="44" t="s">
        <v>97</v>
      </c>
      <c r="B206" s="45">
        <v>6840130</v>
      </c>
      <c r="C206" s="45">
        <v>7454512.5</v>
      </c>
      <c r="D206" s="45">
        <v>6993465</v>
      </c>
      <c r="E206" s="45">
        <v>7764046.75</v>
      </c>
      <c r="F206" s="45">
        <v>8297705</v>
      </c>
      <c r="G206" s="45">
        <v>8181144.75</v>
      </c>
      <c r="H206" s="45">
        <v>7737802</v>
      </c>
      <c r="I206" s="45">
        <v>7465503.25</v>
      </c>
      <c r="J206" s="45">
        <v>9029915.75</v>
      </c>
      <c r="K206" s="45">
        <v>8100847.25</v>
      </c>
      <c r="L206" s="45">
        <v>7836127.5</v>
      </c>
      <c r="M206" s="45">
        <v>8640389.75</v>
      </c>
      <c r="O206" s="45">
        <f>SUM(B206:M206)</f>
        <v>94341589.5</v>
      </c>
      <c r="P206" s="45">
        <f>O206+305294811</f>
        <v>399636400.5</v>
      </c>
    </row>
    <row r="207" spans="1:16" ht="18" x14ac:dyDescent="0.25">
      <c r="A207" s="44" t="s">
        <v>102</v>
      </c>
      <c r="B207" s="45">
        <v>860703.72</v>
      </c>
      <c r="C207" s="45">
        <v>938315.82000000007</v>
      </c>
      <c r="D207" s="45">
        <v>888116.29999999993</v>
      </c>
      <c r="E207" s="45">
        <v>955131.33</v>
      </c>
      <c r="F207" s="45">
        <v>1021646.2000000001</v>
      </c>
      <c r="G207" s="45">
        <v>1002071.75</v>
      </c>
      <c r="H207" s="45">
        <v>948413.66000000015</v>
      </c>
      <c r="I207" s="45">
        <v>934271.89</v>
      </c>
      <c r="J207" s="45">
        <v>1118771.3899999999</v>
      </c>
      <c r="K207" s="45">
        <v>998155.52999999991</v>
      </c>
      <c r="L207" s="45">
        <v>966417.03999999992</v>
      </c>
      <c r="M207" s="45">
        <v>1051676.8899999999</v>
      </c>
      <c r="O207" s="45">
        <f>SUM(B207:M207)</f>
        <v>11683691.52</v>
      </c>
      <c r="P207" s="45">
        <f>O207+40422414</f>
        <v>52106105.519999996</v>
      </c>
    </row>
    <row r="208" spans="1:16" x14ac:dyDescent="0.25">
      <c r="A208" s="44" t="s">
        <v>88</v>
      </c>
      <c r="B208" s="45">
        <v>136802.6</v>
      </c>
      <c r="C208" s="45">
        <v>149090.25</v>
      </c>
      <c r="D208" s="45">
        <v>139869.31</v>
      </c>
      <c r="E208" s="45">
        <v>155280.95000000001</v>
      </c>
      <c r="F208" s="45">
        <v>165954.12</v>
      </c>
      <c r="G208" s="45">
        <v>163622.91</v>
      </c>
      <c r="H208" s="45">
        <v>154756.04999999999</v>
      </c>
      <c r="I208" s="45">
        <v>149310.07999999999</v>
      </c>
      <c r="J208" s="45">
        <v>180598.32999999996</v>
      </c>
      <c r="K208" s="45">
        <v>162016.95999999996</v>
      </c>
      <c r="L208" s="45">
        <v>156722.56</v>
      </c>
      <c r="M208" s="45">
        <v>172807.8</v>
      </c>
      <c r="O208" s="45">
        <f>SUM(B208:M208)</f>
        <v>1886831.9200000002</v>
      </c>
      <c r="P208" s="45">
        <f>O208+6105897</f>
        <v>7992728.9199999999</v>
      </c>
    </row>
    <row r="209" spans="1:16" ht="18" x14ac:dyDescent="0.25">
      <c r="A209" s="40" t="s">
        <v>103</v>
      </c>
      <c r="B209" s="41">
        <v>0</v>
      </c>
      <c r="C209" s="41">
        <v>0</v>
      </c>
      <c r="D209" s="41">
        <v>0</v>
      </c>
      <c r="E209" s="41">
        <v>0</v>
      </c>
      <c r="F209" s="41">
        <v>24</v>
      </c>
      <c r="G209" s="41">
        <v>24</v>
      </c>
      <c r="H209" s="41">
        <v>24</v>
      </c>
      <c r="I209" s="41">
        <v>24</v>
      </c>
      <c r="J209" s="41">
        <v>24</v>
      </c>
      <c r="K209" s="41">
        <v>24</v>
      </c>
      <c r="L209" s="41">
        <v>24</v>
      </c>
      <c r="M209" s="41">
        <v>24</v>
      </c>
      <c r="O209" s="41"/>
      <c r="P209" s="41"/>
    </row>
    <row r="210" spans="1:16" x14ac:dyDescent="0.25">
      <c r="A210" s="44" t="s">
        <v>97</v>
      </c>
      <c r="B210" s="45">
        <v>0</v>
      </c>
      <c r="C210" s="45">
        <v>0</v>
      </c>
      <c r="D210" s="45">
        <v>0</v>
      </c>
      <c r="E210" s="45">
        <v>0</v>
      </c>
      <c r="F210" s="45">
        <v>525945</v>
      </c>
      <c r="G210" s="45">
        <v>511104</v>
      </c>
      <c r="H210" s="45">
        <v>482708</v>
      </c>
      <c r="I210" s="45">
        <v>487715</v>
      </c>
      <c r="J210" s="45">
        <v>568697</v>
      </c>
      <c r="K210" s="45">
        <v>535456</v>
      </c>
      <c r="L210" s="45">
        <v>531870</v>
      </c>
      <c r="M210" s="45">
        <v>507111</v>
      </c>
      <c r="O210" s="45">
        <f>SUM(B210:M210)</f>
        <v>4150606</v>
      </c>
      <c r="P210" s="45">
        <f>O210</f>
        <v>4150606</v>
      </c>
    </row>
    <row r="211" spans="1:16" ht="18" x14ac:dyDescent="0.25">
      <c r="A211" s="44" t="s">
        <v>102</v>
      </c>
      <c r="B211" s="45">
        <v>0</v>
      </c>
      <c r="C211" s="45">
        <v>0</v>
      </c>
      <c r="D211" s="45">
        <v>0</v>
      </c>
      <c r="E211" s="45">
        <v>0</v>
      </c>
      <c r="F211" s="45">
        <v>63113.4</v>
      </c>
      <c r="G211" s="45">
        <v>61332.479999999996</v>
      </c>
      <c r="H211" s="45">
        <v>57924.959999999999</v>
      </c>
      <c r="I211" s="45">
        <v>58525.8</v>
      </c>
      <c r="J211" s="45">
        <v>68243.64</v>
      </c>
      <c r="K211" s="45">
        <v>64254.720000000001</v>
      </c>
      <c r="L211" s="45">
        <v>63824.400000000009</v>
      </c>
      <c r="M211" s="45">
        <v>60853.32</v>
      </c>
      <c r="O211" s="45">
        <f>SUM(B211:M211)</f>
        <v>498072.72000000003</v>
      </c>
      <c r="P211" s="45">
        <f>O211</f>
        <v>498072.72000000003</v>
      </c>
    </row>
    <row r="212" spans="1:16" x14ac:dyDescent="0.25">
      <c r="A212" s="44" t="s">
        <v>88</v>
      </c>
      <c r="B212" s="45">
        <v>0</v>
      </c>
      <c r="C212" s="45">
        <v>0</v>
      </c>
      <c r="D212" s="45">
        <v>0</v>
      </c>
      <c r="E212" s="45">
        <v>0</v>
      </c>
      <c r="F212" s="45">
        <v>10518.9</v>
      </c>
      <c r="G212" s="45">
        <v>10222.08</v>
      </c>
      <c r="H212" s="45">
        <v>9654.16</v>
      </c>
      <c r="I212" s="45">
        <v>9754.2999999999993</v>
      </c>
      <c r="J212" s="45">
        <v>11373.939999999999</v>
      </c>
      <c r="K212" s="45">
        <v>10709.12</v>
      </c>
      <c r="L212" s="45">
        <v>10637.400000000001</v>
      </c>
      <c r="M212" s="45">
        <v>10142.220000000001</v>
      </c>
      <c r="O212" s="45">
        <f>SUM(B212:M212)</f>
        <v>83012.12000000001</v>
      </c>
      <c r="P212" s="45">
        <f>O212</f>
        <v>83012.12000000001</v>
      </c>
    </row>
    <row r="213" spans="1:16" ht="18" x14ac:dyDescent="0.25">
      <c r="A213" s="40" t="s">
        <v>104</v>
      </c>
      <c r="B213" s="41">
        <v>59</v>
      </c>
      <c r="C213" s="41">
        <v>59</v>
      </c>
      <c r="D213" s="41">
        <v>59</v>
      </c>
      <c r="E213" s="41">
        <v>59</v>
      </c>
      <c r="F213" s="41">
        <v>59</v>
      </c>
      <c r="G213" s="41">
        <v>59</v>
      </c>
      <c r="H213" s="41">
        <v>59</v>
      </c>
      <c r="I213" s="41">
        <v>59</v>
      </c>
      <c r="J213" s="41">
        <v>59</v>
      </c>
      <c r="K213" s="41">
        <v>59</v>
      </c>
      <c r="L213" s="41">
        <v>59</v>
      </c>
      <c r="M213" s="41">
        <v>59</v>
      </c>
      <c r="O213" s="41"/>
      <c r="P213" s="41"/>
    </row>
    <row r="214" spans="1:16" x14ac:dyDescent="0.25">
      <c r="A214" s="44" t="s">
        <v>97</v>
      </c>
      <c r="B214" s="45">
        <v>6722812</v>
      </c>
      <c r="C214" s="45">
        <v>7325764.5</v>
      </c>
      <c r="D214" s="45">
        <v>6849640</v>
      </c>
      <c r="E214" s="45">
        <v>7695088.75</v>
      </c>
      <c r="F214" s="45">
        <v>7695520</v>
      </c>
      <c r="G214" s="45">
        <v>7610233.75</v>
      </c>
      <c r="H214" s="45">
        <v>7196631</v>
      </c>
      <c r="I214" s="45">
        <v>6864813.25</v>
      </c>
      <c r="J214" s="45">
        <v>8357743.75</v>
      </c>
      <c r="K214" s="45">
        <v>7488762.25</v>
      </c>
      <c r="L214" s="45">
        <v>7227546.5</v>
      </c>
      <c r="M214" s="45">
        <v>8089660.75</v>
      </c>
      <c r="O214" s="45">
        <f t="shared" ref="O214:O220" si="8">SUM(B214:M214)</f>
        <v>89124216.5</v>
      </c>
      <c r="P214" s="45">
        <f>O214+303086427</f>
        <v>392210643.5</v>
      </c>
    </row>
    <row r="215" spans="1:16" ht="18" x14ac:dyDescent="0.25">
      <c r="A215" s="44" t="s">
        <v>102</v>
      </c>
      <c r="B215" s="45">
        <v>806737.44000000006</v>
      </c>
      <c r="C215" s="45">
        <v>879091.74</v>
      </c>
      <c r="D215" s="45">
        <v>821956.8</v>
      </c>
      <c r="E215" s="45">
        <v>923410.65</v>
      </c>
      <c r="F215" s="45">
        <v>923462.39999999991</v>
      </c>
      <c r="G215" s="45">
        <v>913228.05</v>
      </c>
      <c r="H215" s="45">
        <v>863595.72</v>
      </c>
      <c r="I215" s="45">
        <v>823777.59000000008</v>
      </c>
      <c r="J215" s="45">
        <v>1002929.25</v>
      </c>
      <c r="K215" s="45">
        <v>898651.47</v>
      </c>
      <c r="L215" s="45">
        <v>867305.58</v>
      </c>
      <c r="M215" s="45">
        <v>970759.28999999992</v>
      </c>
      <c r="O215" s="45">
        <f t="shared" si="8"/>
        <v>10694905.979999999</v>
      </c>
      <c r="P215" s="45">
        <f>O215+39406558</f>
        <v>50101463.979999997</v>
      </c>
    </row>
    <row r="216" spans="1:16" x14ac:dyDescent="0.25">
      <c r="A216" s="44" t="s">
        <v>88</v>
      </c>
      <c r="B216" s="45">
        <v>134456.24000000002</v>
      </c>
      <c r="C216" s="45">
        <v>146515.29</v>
      </c>
      <c r="D216" s="45">
        <v>136992.81</v>
      </c>
      <c r="E216" s="45">
        <v>153901.79</v>
      </c>
      <c r="F216" s="45">
        <v>153910.41999999998</v>
      </c>
      <c r="G216" s="45">
        <v>152204.69</v>
      </c>
      <c r="H216" s="45">
        <v>143932.63</v>
      </c>
      <c r="I216" s="45">
        <v>137296.28</v>
      </c>
      <c r="J216" s="45">
        <v>167154.89000000001</v>
      </c>
      <c r="K216" s="45">
        <v>149775.26</v>
      </c>
      <c r="L216" s="45">
        <v>144550.94</v>
      </c>
      <c r="M216" s="45">
        <v>161793.22</v>
      </c>
      <c r="O216" s="45">
        <f t="shared" si="8"/>
        <v>1782484.46</v>
      </c>
      <c r="P216" s="45">
        <f>O216+6061729</f>
        <v>7844213.46</v>
      </c>
    </row>
    <row r="217" spans="1:16" ht="18" x14ac:dyDescent="0.25">
      <c r="A217" s="40" t="s">
        <v>105</v>
      </c>
      <c r="B217" s="41">
        <v>0</v>
      </c>
      <c r="C217" s="41">
        <v>0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O217" s="41"/>
      <c r="P217" s="41"/>
    </row>
    <row r="218" spans="1:16" x14ac:dyDescent="0.25">
      <c r="A218" s="44" t="s">
        <v>97</v>
      </c>
      <c r="B218" s="45">
        <v>0</v>
      </c>
      <c r="C218" s="45">
        <v>0</v>
      </c>
      <c r="D218" s="45">
        <v>0</v>
      </c>
      <c r="E218" s="45">
        <v>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O218" s="45">
        <f t="shared" si="8"/>
        <v>0</v>
      </c>
      <c r="P218" s="45">
        <f>O218</f>
        <v>0</v>
      </c>
    </row>
    <row r="219" spans="1:16" ht="18" x14ac:dyDescent="0.25">
      <c r="A219" s="44" t="s">
        <v>102</v>
      </c>
      <c r="B219" s="45">
        <v>0</v>
      </c>
      <c r="C219" s="45">
        <v>0</v>
      </c>
      <c r="D219" s="45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O219" s="45">
        <f t="shared" si="8"/>
        <v>0</v>
      </c>
      <c r="P219" s="45">
        <f>O219</f>
        <v>0</v>
      </c>
    </row>
    <row r="220" spans="1:16" x14ac:dyDescent="0.25">
      <c r="A220" s="44" t="s">
        <v>88</v>
      </c>
      <c r="B220" s="45">
        <v>0</v>
      </c>
      <c r="C220" s="45">
        <v>0</v>
      </c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O220" s="45">
        <f t="shared" si="8"/>
        <v>0</v>
      </c>
      <c r="P220" s="45">
        <f>O220</f>
        <v>0</v>
      </c>
    </row>
    <row r="221" spans="1:16" ht="18" x14ac:dyDescent="0.25">
      <c r="A221" s="40" t="s">
        <v>106</v>
      </c>
      <c r="B221" s="41">
        <v>2</v>
      </c>
      <c r="C221" s="41">
        <v>2</v>
      </c>
      <c r="D221" s="41">
        <v>2</v>
      </c>
      <c r="E221" s="41">
        <v>2</v>
      </c>
      <c r="F221" s="41">
        <v>1.2</v>
      </c>
      <c r="G221" s="41">
        <v>1</v>
      </c>
      <c r="H221" s="41">
        <v>1</v>
      </c>
      <c r="I221" s="41">
        <v>1</v>
      </c>
      <c r="J221" s="41">
        <v>1</v>
      </c>
      <c r="K221" s="41">
        <v>1</v>
      </c>
      <c r="L221" s="41">
        <v>1</v>
      </c>
      <c r="M221" s="41">
        <v>1</v>
      </c>
      <c r="O221" s="41"/>
      <c r="P221" s="41"/>
    </row>
    <row r="222" spans="1:16" x14ac:dyDescent="0.25">
      <c r="A222" s="44" t="s">
        <v>97</v>
      </c>
      <c r="B222" s="45">
        <v>117318</v>
      </c>
      <c r="C222" s="45">
        <v>128748</v>
      </c>
      <c r="D222" s="45">
        <v>143825</v>
      </c>
      <c r="E222" s="45">
        <v>68958</v>
      </c>
      <c r="F222" s="45">
        <v>76240</v>
      </c>
      <c r="G222" s="45">
        <v>59807</v>
      </c>
      <c r="H222" s="45">
        <v>58463</v>
      </c>
      <c r="I222" s="45">
        <v>112975</v>
      </c>
      <c r="J222" s="45">
        <v>103475</v>
      </c>
      <c r="K222" s="45">
        <v>76629</v>
      </c>
      <c r="L222" s="45">
        <v>76711</v>
      </c>
      <c r="M222" s="45">
        <v>43618</v>
      </c>
      <c r="O222" s="45">
        <f>SUM(B222:M222)</f>
        <v>1066767</v>
      </c>
      <c r="P222" s="45">
        <f>O222+2208384</f>
        <v>3275151</v>
      </c>
    </row>
    <row r="223" spans="1:16" ht="18" x14ac:dyDescent="0.25">
      <c r="A223" s="44" t="s">
        <v>102</v>
      </c>
      <c r="B223" s="45">
        <v>53966.28</v>
      </c>
      <c r="C223" s="45">
        <v>59224.079999999994</v>
      </c>
      <c r="D223" s="45">
        <v>66159.5</v>
      </c>
      <c r="E223" s="45">
        <v>31720.68</v>
      </c>
      <c r="F223" s="45">
        <v>35070.399999999994</v>
      </c>
      <c r="G223" s="45">
        <v>27511.219999999998</v>
      </c>
      <c r="H223" s="45">
        <v>26892.98</v>
      </c>
      <c r="I223" s="45">
        <v>51968.5</v>
      </c>
      <c r="J223" s="45">
        <v>47598.499999999993</v>
      </c>
      <c r="K223" s="45">
        <v>35249.339999999997</v>
      </c>
      <c r="L223" s="45">
        <v>35287.06</v>
      </c>
      <c r="M223" s="45">
        <v>20064.28</v>
      </c>
      <c r="O223" s="45">
        <f>SUM(B223:M223)</f>
        <v>490712.81999999995</v>
      </c>
      <c r="P223" s="45">
        <f>O223+1015857</f>
        <v>1506569.8199999998</v>
      </c>
    </row>
    <row r="224" spans="1:16" x14ac:dyDescent="0.25">
      <c r="A224" s="44" t="s">
        <v>88</v>
      </c>
      <c r="B224" s="45">
        <v>2346.3599999999997</v>
      </c>
      <c r="C224" s="45">
        <v>2574.96</v>
      </c>
      <c r="D224" s="45">
        <v>2876.5</v>
      </c>
      <c r="E224" s="45">
        <v>1379.16</v>
      </c>
      <c r="F224" s="45">
        <v>1524.8000000000002</v>
      </c>
      <c r="G224" s="45">
        <v>1196.1399999999999</v>
      </c>
      <c r="H224" s="45">
        <v>1169.26</v>
      </c>
      <c r="I224" s="45">
        <v>2259.5</v>
      </c>
      <c r="J224" s="45">
        <v>2069.5</v>
      </c>
      <c r="K224" s="45">
        <v>1532.58</v>
      </c>
      <c r="L224" s="45">
        <v>1534.22</v>
      </c>
      <c r="M224" s="45">
        <v>872.36</v>
      </c>
      <c r="O224" s="45">
        <f>SUM(B224:M224)</f>
        <v>21335.340000000004</v>
      </c>
      <c r="P224" s="45">
        <f>O224+44168</f>
        <v>65503.340000000004</v>
      </c>
    </row>
    <row r="225" spans="1:16" x14ac:dyDescent="0.25">
      <c r="B225" s="51"/>
      <c r="C225" s="45"/>
      <c r="D225" s="45"/>
      <c r="E225" s="51"/>
      <c r="F225" s="51"/>
      <c r="G225" s="51"/>
      <c r="I225" s="51"/>
      <c r="J225" s="51"/>
      <c r="K225" s="45"/>
      <c r="L225" s="45"/>
      <c r="M225" s="45"/>
      <c r="O225" s="51"/>
      <c r="P225" s="51"/>
    </row>
    <row r="226" spans="1:16" x14ac:dyDescent="0.25">
      <c r="A226" s="53" t="s">
        <v>112</v>
      </c>
      <c r="B226" s="51"/>
      <c r="C226" s="45"/>
      <c r="D226" s="45"/>
      <c r="E226" s="51"/>
      <c r="F226" s="51"/>
      <c r="G226" s="51"/>
      <c r="I226" s="51"/>
      <c r="J226" s="51"/>
      <c r="K226" s="45"/>
      <c r="L226" s="45"/>
      <c r="M226" s="45"/>
      <c r="O226" s="51"/>
      <c r="P226" s="51"/>
    </row>
    <row r="227" spans="1:16" x14ac:dyDescent="0.25">
      <c r="A227" s="40" t="s">
        <v>87</v>
      </c>
      <c r="B227" s="41">
        <v>50</v>
      </c>
      <c r="C227" s="41">
        <v>50</v>
      </c>
      <c r="D227" s="41">
        <v>50</v>
      </c>
      <c r="E227" s="41">
        <v>50</v>
      </c>
      <c r="F227" s="41">
        <v>50</v>
      </c>
      <c r="G227" s="41">
        <v>50</v>
      </c>
      <c r="H227" s="41">
        <v>50</v>
      </c>
      <c r="I227" s="41">
        <v>50</v>
      </c>
      <c r="J227" s="41">
        <v>50</v>
      </c>
      <c r="K227" s="41">
        <v>50</v>
      </c>
      <c r="L227" s="41">
        <v>50</v>
      </c>
      <c r="M227" s="41">
        <v>50</v>
      </c>
      <c r="O227" s="41"/>
      <c r="P227" s="41"/>
    </row>
    <row r="228" spans="1:16" x14ac:dyDescent="0.25">
      <c r="A228" s="44" t="s">
        <v>97</v>
      </c>
      <c r="B228" s="45">
        <v>3005851.87</v>
      </c>
      <c r="C228" s="45">
        <v>2101849.7000000002</v>
      </c>
      <c r="D228" s="45">
        <v>2666525.2400000002</v>
      </c>
      <c r="E228" s="45">
        <v>2196410.56</v>
      </c>
      <c r="F228" s="45">
        <v>2586976.59</v>
      </c>
      <c r="G228" s="45">
        <v>2584582.21</v>
      </c>
      <c r="H228" s="45">
        <v>3231310.39</v>
      </c>
      <c r="I228" s="45">
        <v>2466791.25</v>
      </c>
      <c r="J228" s="45">
        <v>2519200.09</v>
      </c>
      <c r="K228" s="45">
        <v>3029078.03</v>
      </c>
      <c r="L228" s="45">
        <v>3015742.71</v>
      </c>
      <c r="M228" s="45">
        <v>3134116.55</v>
      </c>
      <c r="O228" s="45">
        <f>SUM(B228:M228)</f>
        <v>32538435.190000005</v>
      </c>
      <c r="P228" s="45">
        <f>O228+72532931</f>
        <v>105071366.19</v>
      </c>
    </row>
    <row r="229" spans="1:16" ht="18" x14ac:dyDescent="0.25">
      <c r="A229" s="44" t="s">
        <v>102</v>
      </c>
      <c r="B229" s="45">
        <v>360702.22</v>
      </c>
      <c r="C229" s="45">
        <v>252221.96</v>
      </c>
      <c r="D229" s="45">
        <v>319983.03000000003</v>
      </c>
      <c r="E229" s="45">
        <v>263569.26999999996</v>
      </c>
      <c r="F229" s="45">
        <v>310437.18</v>
      </c>
      <c r="G229" s="45">
        <v>310149.87</v>
      </c>
      <c r="H229" s="45">
        <v>387757.25</v>
      </c>
      <c r="I229" s="45">
        <v>296014.94999999995</v>
      </c>
      <c r="J229" s="45">
        <v>302304.01</v>
      </c>
      <c r="K229" s="45">
        <v>363489.36999999994</v>
      </c>
      <c r="L229" s="45">
        <v>361889.12</v>
      </c>
      <c r="M229" s="45">
        <v>376093.98</v>
      </c>
      <c r="O229" s="45">
        <f>SUM(B229:M229)</f>
        <v>3904612.2099999995</v>
      </c>
      <c r="P229" s="45">
        <f>O229+9986441</f>
        <v>13891053.209999999</v>
      </c>
    </row>
    <row r="230" spans="1:16" x14ac:dyDescent="0.25">
      <c r="A230" s="44" t="s">
        <v>88</v>
      </c>
      <c r="B230" s="45">
        <v>60117.04</v>
      </c>
      <c r="C230" s="45">
        <v>42037</v>
      </c>
      <c r="D230" s="45">
        <v>53330.52</v>
      </c>
      <c r="E230" s="45">
        <v>43928.23</v>
      </c>
      <c r="F230" s="45">
        <v>51739.549999999996</v>
      </c>
      <c r="G230" s="45">
        <v>51691.64</v>
      </c>
      <c r="H230" s="45">
        <v>64626.22</v>
      </c>
      <c r="I230" s="45">
        <v>49335.829999999994</v>
      </c>
      <c r="J230" s="45">
        <v>50384.009999999995</v>
      </c>
      <c r="K230" s="45">
        <v>60581.56</v>
      </c>
      <c r="L230" s="45">
        <v>60314.85</v>
      </c>
      <c r="M230" s="45">
        <v>62682.329999999994</v>
      </c>
      <c r="O230" s="45">
        <f>SUM(B230:M230)</f>
        <v>650768.77999999991</v>
      </c>
      <c r="P230" s="45">
        <f>O230+1450659</f>
        <v>2101427.7799999998</v>
      </c>
    </row>
    <row r="231" spans="1:16" ht="18" x14ac:dyDescent="0.25">
      <c r="A231" s="40" t="s">
        <v>103</v>
      </c>
      <c r="B231" s="41">
        <v>0</v>
      </c>
      <c r="C231" s="41">
        <v>0</v>
      </c>
      <c r="D231" s="41">
        <v>0</v>
      </c>
      <c r="E231" s="41">
        <v>0</v>
      </c>
      <c r="F231" s="41">
        <v>0</v>
      </c>
      <c r="G231" s="41">
        <v>0</v>
      </c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O231" s="41"/>
      <c r="P231" s="41"/>
    </row>
    <row r="232" spans="1:16" x14ac:dyDescent="0.25">
      <c r="A232" s="44" t="s">
        <v>97</v>
      </c>
      <c r="B232" s="45">
        <v>0</v>
      </c>
      <c r="C232" s="45">
        <v>0</v>
      </c>
      <c r="D232" s="45">
        <v>0</v>
      </c>
      <c r="E232" s="45"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O232" s="45">
        <f>SUM(B232:M232)</f>
        <v>0</v>
      </c>
      <c r="P232" s="45">
        <f>O232</f>
        <v>0</v>
      </c>
    </row>
    <row r="233" spans="1:16" ht="18" x14ac:dyDescent="0.25">
      <c r="A233" s="44" t="s">
        <v>102</v>
      </c>
      <c r="B233" s="45">
        <v>0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45">
        <v>0</v>
      </c>
      <c r="O233" s="45">
        <f>SUM(B233:M233)</f>
        <v>0</v>
      </c>
      <c r="P233" s="45">
        <f>O233</f>
        <v>0</v>
      </c>
    </row>
    <row r="234" spans="1:16" x14ac:dyDescent="0.25">
      <c r="A234" s="44" t="s">
        <v>88</v>
      </c>
      <c r="B234" s="45">
        <v>0</v>
      </c>
      <c r="C234" s="45">
        <v>0</v>
      </c>
      <c r="D234" s="45">
        <v>0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O234" s="45">
        <f>SUM(B234:M234)</f>
        <v>0</v>
      </c>
      <c r="P234" s="45">
        <f>O234</f>
        <v>0</v>
      </c>
    </row>
    <row r="235" spans="1:16" ht="18" x14ac:dyDescent="0.25">
      <c r="A235" s="40" t="s">
        <v>104</v>
      </c>
      <c r="B235" s="41">
        <v>50</v>
      </c>
      <c r="C235" s="41">
        <v>50</v>
      </c>
      <c r="D235" s="41">
        <v>50</v>
      </c>
      <c r="E235" s="41">
        <v>50</v>
      </c>
      <c r="F235" s="41">
        <v>50</v>
      </c>
      <c r="G235" s="41">
        <v>50</v>
      </c>
      <c r="H235" s="41">
        <v>50</v>
      </c>
      <c r="I235" s="41">
        <v>50</v>
      </c>
      <c r="J235" s="41">
        <v>50</v>
      </c>
      <c r="K235" s="41">
        <v>50</v>
      </c>
      <c r="L235" s="41">
        <v>50</v>
      </c>
      <c r="M235" s="41">
        <v>50</v>
      </c>
      <c r="O235" s="41"/>
      <c r="P235" s="41"/>
    </row>
    <row r="236" spans="1:16" x14ac:dyDescent="0.25">
      <c r="A236" s="44" t="s">
        <v>97</v>
      </c>
      <c r="B236" s="45">
        <v>3005851.87</v>
      </c>
      <c r="C236" s="45">
        <v>2101849.7000000002</v>
      </c>
      <c r="D236" s="45">
        <v>2666525.2400000002</v>
      </c>
      <c r="E236" s="45">
        <v>2196410.56</v>
      </c>
      <c r="F236" s="45">
        <v>2586976.59</v>
      </c>
      <c r="G236" s="45">
        <v>2584582.21</v>
      </c>
      <c r="H236" s="45">
        <v>3231310.39</v>
      </c>
      <c r="I236" s="45">
        <v>2466791.25</v>
      </c>
      <c r="J236" s="45">
        <v>2519200.09</v>
      </c>
      <c r="K236" s="45">
        <v>3029078.03</v>
      </c>
      <c r="L236" s="45">
        <v>3015742.71</v>
      </c>
      <c r="M236" s="45">
        <v>3134116.55</v>
      </c>
      <c r="O236" s="45">
        <f t="shared" ref="O236:O246" si="9">SUM(B236:M236)</f>
        <v>32538435.190000005</v>
      </c>
      <c r="P236" s="45">
        <f>O236+72532931</f>
        <v>105071366.19</v>
      </c>
    </row>
    <row r="237" spans="1:16" ht="18" x14ac:dyDescent="0.25">
      <c r="A237" s="44" t="s">
        <v>102</v>
      </c>
      <c r="B237" s="45">
        <v>360702.22</v>
      </c>
      <c r="C237" s="45">
        <v>252221.96</v>
      </c>
      <c r="D237" s="45">
        <v>319983.03000000003</v>
      </c>
      <c r="E237" s="45">
        <v>263569.26999999996</v>
      </c>
      <c r="F237" s="45">
        <v>310437.18</v>
      </c>
      <c r="G237" s="45">
        <v>310149.87</v>
      </c>
      <c r="H237" s="45">
        <v>387757.25</v>
      </c>
      <c r="I237" s="45">
        <v>296014.94999999995</v>
      </c>
      <c r="J237" s="45">
        <v>302304.01</v>
      </c>
      <c r="K237" s="45">
        <v>363489.36999999994</v>
      </c>
      <c r="L237" s="45">
        <v>361889.12</v>
      </c>
      <c r="M237" s="45">
        <v>376093.98</v>
      </c>
      <c r="O237" s="45">
        <f t="shared" si="9"/>
        <v>3904612.2099999995</v>
      </c>
      <c r="P237" s="45">
        <f>O237+9986441</f>
        <v>13891053.209999999</v>
      </c>
    </row>
    <row r="238" spans="1:16" x14ac:dyDescent="0.25">
      <c r="A238" s="44" t="s">
        <v>88</v>
      </c>
      <c r="B238" s="45">
        <v>60117.04</v>
      </c>
      <c r="C238" s="45">
        <v>42037</v>
      </c>
      <c r="D238" s="45">
        <v>53330.52</v>
      </c>
      <c r="E238" s="45">
        <v>43928.23</v>
      </c>
      <c r="F238" s="45">
        <v>51739.549999999996</v>
      </c>
      <c r="G238" s="45">
        <v>51691.64</v>
      </c>
      <c r="H238" s="45">
        <v>64626.22</v>
      </c>
      <c r="I238" s="45">
        <v>49335.829999999994</v>
      </c>
      <c r="J238" s="45">
        <v>50384.009999999995</v>
      </c>
      <c r="K238" s="45">
        <v>60581.56</v>
      </c>
      <c r="L238" s="45">
        <v>60314.85</v>
      </c>
      <c r="M238" s="45">
        <v>62682.329999999994</v>
      </c>
      <c r="O238" s="45">
        <f t="shared" si="9"/>
        <v>650768.77999999991</v>
      </c>
      <c r="P238" s="45">
        <f>O238+1450659</f>
        <v>2101427.7799999998</v>
      </c>
    </row>
    <row r="239" spans="1:16" ht="18" x14ac:dyDescent="0.25">
      <c r="A239" s="40" t="s">
        <v>105</v>
      </c>
      <c r="B239" s="41">
        <v>0</v>
      </c>
      <c r="C239" s="41">
        <v>0</v>
      </c>
      <c r="D239" s="41">
        <v>0</v>
      </c>
      <c r="E239" s="41">
        <v>0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1">
        <v>0</v>
      </c>
      <c r="O239" s="41"/>
      <c r="P239" s="41"/>
    </row>
    <row r="240" spans="1:16" x14ac:dyDescent="0.25">
      <c r="A240" s="44" t="s">
        <v>97</v>
      </c>
      <c r="B240" s="45">
        <v>0</v>
      </c>
      <c r="C240" s="45">
        <v>0</v>
      </c>
      <c r="D240" s="45">
        <v>0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O240" s="45">
        <f t="shared" si="9"/>
        <v>0</v>
      </c>
      <c r="P240" s="45">
        <f>O240</f>
        <v>0</v>
      </c>
    </row>
    <row r="241" spans="1:16" ht="18" x14ac:dyDescent="0.25">
      <c r="A241" s="44" t="s">
        <v>102</v>
      </c>
      <c r="B241" s="45">
        <v>0</v>
      </c>
      <c r="C241" s="45">
        <v>0</v>
      </c>
      <c r="D241" s="45">
        <v>0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O241" s="45">
        <f t="shared" si="9"/>
        <v>0</v>
      </c>
      <c r="P241" s="45">
        <f>O241</f>
        <v>0</v>
      </c>
    </row>
    <row r="242" spans="1:16" x14ac:dyDescent="0.25">
      <c r="A242" s="44" t="s">
        <v>88</v>
      </c>
      <c r="B242" s="45">
        <v>0</v>
      </c>
      <c r="C242" s="45">
        <v>0</v>
      </c>
      <c r="D242" s="45">
        <v>0</v>
      </c>
      <c r="E242" s="45">
        <v>0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O242" s="45">
        <f t="shared" si="9"/>
        <v>0</v>
      </c>
      <c r="P242" s="45">
        <f>O242</f>
        <v>0</v>
      </c>
    </row>
    <row r="243" spans="1:16" ht="18" x14ac:dyDescent="0.25">
      <c r="A243" s="40" t="s">
        <v>106</v>
      </c>
      <c r="B243" s="41">
        <v>0</v>
      </c>
      <c r="C243" s="41">
        <v>0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O243" s="41"/>
      <c r="P243" s="41"/>
    </row>
    <row r="244" spans="1:16" x14ac:dyDescent="0.25">
      <c r="A244" s="44" t="s">
        <v>97</v>
      </c>
      <c r="B244" s="45">
        <v>0</v>
      </c>
      <c r="C244" s="45">
        <v>0</v>
      </c>
      <c r="D244" s="45">
        <v>0</v>
      </c>
      <c r="E244" s="45">
        <v>0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5">
        <v>0</v>
      </c>
      <c r="O244" s="45">
        <f t="shared" si="9"/>
        <v>0</v>
      </c>
      <c r="P244" s="45">
        <f>O244</f>
        <v>0</v>
      </c>
    </row>
    <row r="245" spans="1:16" ht="18" x14ac:dyDescent="0.25">
      <c r="A245" s="44" t="s">
        <v>102</v>
      </c>
      <c r="B245" s="45">
        <v>0</v>
      </c>
      <c r="C245" s="45">
        <v>0</v>
      </c>
      <c r="D245" s="45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O245" s="45">
        <f t="shared" si="9"/>
        <v>0</v>
      </c>
      <c r="P245" s="45">
        <f>O245</f>
        <v>0</v>
      </c>
    </row>
    <row r="246" spans="1:16" x14ac:dyDescent="0.25">
      <c r="A246" s="44" t="s">
        <v>88</v>
      </c>
      <c r="B246" s="45">
        <v>0</v>
      </c>
      <c r="C246" s="45">
        <v>0</v>
      </c>
      <c r="D246" s="45">
        <v>0</v>
      </c>
      <c r="E246" s="45">
        <v>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O246" s="45">
        <f t="shared" si="9"/>
        <v>0</v>
      </c>
      <c r="P246" s="45">
        <f>O246</f>
        <v>0</v>
      </c>
    </row>
    <row r="247" spans="1:16" x14ac:dyDescent="0.25">
      <c r="A247" s="44"/>
      <c r="B247" s="51"/>
      <c r="C247" s="65"/>
      <c r="D247" s="65"/>
      <c r="E247" s="65"/>
      <c r="F247" s="51"/>
      <c r="G247" s="51"/>
      <c r="I247" s="51"/>
      <c r="J247" s="51"/>
      <c r="K247" s="45"/>
      <c r="L247" s="45"/>
      <c r="M247" s="45"/>
      <c r="O247" s="51"/>
      <c r="P247" s="51"/>
    </row>
    <row r="248" spans="1:16" x14ac:dyDescent="0.25">
      <c r="A248" s="53" t="s">
        <v>115</v>
      </c>
      <c r="B248" s="51"/>
      <c r="C248" s="65"/>
      <c r="D248" s="65"/>
      <c r="E248" s="65"/>
      <c r="F248" s="51"/>
      <c r="G248" s="51"/>
      <c r="I248" s="51"/>
      <c r="J248" s="51"/>
      <c r="K248" s="45"/>
      <c r="L248" s="45"/>
      <c r="M248" s="45"/>
      <c r="O248" s="51"/>
      <c r="P248" s="51"/>
    </row>
    <row r="249" spans="1:16" x14ac:dyDescent="0.25">
      <c r="A249" s="40" t="s">
        <v>87</v>
      </c>
      <c r="B249" s="41">
        <v>29</v>
      </c>
      <c r="C249" s="41">
        <v>29</v>
      </c>
      <c r="D249" s="41">
        <v>29</v>
      </c>
      <c r="E249" s="41">
        <v>29</v>
      </c>
      <c r="F249" s="41">
        <v>29.8</v>
      </c>
      <c r="G249" s="41">
        <v>29</v>
      </c>
      <c r="H249" s="41">
        <v>29</v>
      </c>
      <c r="I249" s="41">
        <v>29</v>
      </c>
      <c r="J249" s="41">
        <v>29</v>
      </c>
      <c r="K249" s="41">
        <v>29</v>
      </c>
      <c r="L249" s="41">
        <v>29</v>
      </c>
      <c r="M249" s="41">
        <v>29</v>
      </c>
      <c r="O249" s="41"/>
      <c r="P249" s="41"/>
    </row>
    <row r="250" spans="1:16" x14ac:dyDescent="0.25">
      <c r="A250" s="44" t="s">
        <v>97</v>
      </c>
      <c r="B250" s="45">
        <v>520319.51</v>
      </c>
      <c r="C250" s="45">
        <v>480370.13</v>
      </c>
      <c r="D250" s="45">
        <v>383838.98</v>
      </c>
      <c r="E250" s="45">
        <v>516612.32</v>
      </c>
      <c r="F250" s="45">
        <v>297351.39</v>
      </c>
      <c r="G250" s="45">
        <v>437372.39</v>
      </c>
      <c r="H250" s="45">
        <v>312175.5</v>
      </c>
      <c r="I250" s="45">
        <v>504666.58999999997</v>
      </c>
      <c r="J250" s="45">
        <v>554620.34000000008</v>
      </c>
      <c r="K250" s="45">
        <v>513636.76</v>
      </c>
      <c r="L250" s="45">
        <v>420688</v>
      </c>
      <c r="M250" s="45">
        <v>461854.36</v>
      </c>
      <c r="O250" s="45">
        <f>SUM(B250:M250)</f>
        <v>5403506.2700000005</v>
      </c>
      <c r="P250" s="45">
        <f>O250+4835530</f>
        <v>10239036.27</v>
      </c>
    </row>
    <row r="251" spans="1:16" ht="18" x14ac:dyDescent="0.25">
      <c r="A251" s="44" t="s">
        <v>102</v>
      </c>
      <c r="B251" s="45">
        <v>72844.740000000005</v>
      </c>
      <c r="C251" s="45">
        <v>67251.830000000016</v>
      </c>
      <c r="D251" s="45">
        <v>53737.46</v>
      </c>
      <c r="E251" s="45">
        <v>72325.740000000005</v>
      </c>
      <c r="F251" s="45">
        <v>41629.19</v>
      </c>
      <c r="G251" s="45">
        <v>61232.14</v>
      </c>
      <c r="H251" s="45">
        <v>43704.569999999992</v>
      </c>
      <c r="I251" s="45">
        <v>70653.319999999992</v>
      </c>
      <c r="J251" s="45">
        <v>77646.849999999991</v>
      </c>
      <c r="K251" s="45">
        <v>71909.150000000009</v>
      </c>
      <c r="L251" s="45">
        <v>58896.320000000007</v>
      </c>
      <c r="M251" s="45">
        <v>64659.610000000008</v>
      </c>
      <c r="O251" s="45">
        <f>SUM(B251:M251)</f>
        <v>756490.92</v>
      </c>
      <c r="P251" s="45">
        <f>O251+676974</f>
        <v>1433464.92</v>
      </c>
    </row>
    <row r="252" spans="1:16" x14ac:dyDescent="0.25">
      <c r="A252" s="44" t="s">
        <v>88</v>
      </c>
      <c r="B252" s="45">
        <v>10406.4</v>
      </c>
      <c r="C252" s="45">
        <v>9607.41</v>
      </c>
      <c r="D252" s="45">
        <v>7676.78</v>
      </c>
      <c r="E252" s="45">
        <v>10332.26</v>
      </c>
      <c r="F252" s="45">
        <v>5947.0300000000007</v>
      </c>
      <c r="G252" s="45">
        <v>8747.4500000000007</v>
      </c>
      <c r="H252" s="45">
        <v>6243.51</v>
      </c>
      <c r="I252" s="45">
        <v>10093.33</v>
      </c>
      <c r="J252" s="45">
        <v>11092.410000000002</v>
      </c>
      <c r="K252" s="45">
        <v>10272.740000000002</v>
      </c>
      <c r="L252" s="45">
        <v>8413.76</v>
      </c>
      <c r="M252" s="45">
        <v>9237.09</v>
      </c>
      <c r="O252" s="45">
        <f>SUM(B252:M252)</f>
        <v>108070.17</v>
      </c>
      <c r="P252" s="45">
        <f>O252+96711</f>
        <v>204781.16999999998</v>
      </c>
    </row>
    <row r="253" spans="1:16" ht="18" x14ac:dyDescent="0.25">
      <c r="A253" s="40" t="s">
        <v>103</v>
      </c>
      <c r="B253" s="41">
        <v>0</v>
      </c>
      <c r="C253" s="41">
        <v>0</v>
      </c>
      <c r="D253" s="41">
        <v>0</v>
      </c>
      <c r="E253" s="41">
        <v>0</v>
      </c>
      <c r="F253" s="41">
        <v>0</v>
      </c>
      <c r="G253" s="41">
        <v>0</v>
      </c>
      <c r="H253" s="41">
        <v>0</v>
      </c>
      <c r="I253" s="41">
        <v>0</v>
      </c>
      <c r="J253" s="41">
        <v>0</v>
      </c>
      <c r="K253" s="41">
        <v>0</v>
      </c>
      <c r="L253" s="41">
        <v>0</v>
      </c>
      <c r="M253" s="41">
        <v>0</v>
      </c>
      <c r="O253" s="41"/>
      <c r="P253" s="41"/>
    </row>
    <row r="254" spans="1:16" x14ac:dyDescent="0.25">
      <c r="A254" s="44" t="s">
        <v>97</v>
      </c>
      <c r="B254" s="45">
        <v>0</v>
      </c>
      <c r="C254" s="45">
        <v>0</v>
      </c>
      <c r="D254" s="45">
        <v>0</v>
      </c>
      <c r="E254" s="45">
        <v>0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O254" s="45">
        <f>SUM(B254:M254)</f>
        <v>0</v>
      </c>
      <c r="P254" s="45">
        <f>O254</f>
        <v>0</v>
      </c>
    </row>
    <row r="255" spans="1:16" ht="18" x14ac:dyDescent="0.25">
      <c r="A255" s="44" t="s">
        <v>102</v>
      </c>
      <c r="B255" s="45">
        <v>0</v>
      </c>
      <c r="C255" s="45">
        <v>0</v>
      </c>
      <c r="D255" s="45">
        <v>0</v>
      </c>
      <c r="E255" s="45">
        <v>0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O255" s="45">
        <f>SUM(B255:M255)</f>
        <v>0</v>
      </c>
      <c r="P255" s="45">
        <f>O255</f>
        <v>0</v>
      </c>
    </row>
    <row r="256" spans="1:16" x14ac:dyDescent="0.25">
      <c r="A256" s="44" t="s">
        <v>88</v>
      </c>
      <c r="B256" s="45">
        <v>0</v>
      </c>
      <c r="C256" s="45">
        <v>0</v>
      </c>
      <c r="D256" s="45">
        <v>0</v>
      </c>
      <c r="E256" s="45">
        <v>0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45">
        <v>0</v>
      </c>
      <c r="O256" s="45">
        <f>SUM(B256:M256)</f>
        <v>0</v>
      </c>
      <c r="P256" s="45">
        <f>O256</f>
        <v>0</v>
      </c>
    </row>
    <row r="257" spans="1:17" ht="18" x14ac:dyDescent="0.25">
      <c r="A257" s="40" t="s">
        <v>104</v>
      </c>
      <c r="B257" s="41">
        <v>29</v>
      </c>
      <c r="C257" s="41">
        <v>29</v>
      </c>
      <c r="D257" s="41">
        <v>29</v>
      </c>
      <c r="E257" s="41">
        <v>29</v>
      </c>
      <c r="F257" s="41">
        <v>29.8</v>
      </c>
      <c r="G257" s="41">
        <v>29</v>
      </c>
      <c r="H257" s="41">
        <v>29</v>
      </c>
      <c r="I257" s="41">
        <v>29</v>
      </c>
      <c r="J257" s="41">
        <v>29</v>
      </c>
      <c r="K257" s="41">
        <v>29</v>
      </c>
      <c r="L257" s="41">
        <v>29</v>
      </c>
      <c r="M257" s="41">
        <v>29</v>
      </c>
      <c r="O257" s="41"/>
      <c r="P257" s="41"/>
    </row>
    <row r="258" spans="1:17" x14ac:dyDescent="0.25">
      <c r="A258" s="44" t="s">
        <v>97</v>
      </c>
      <c r="B258" s="45">
        <v>520319.51</v>
      </c>
      <c r="C258" s="45">
        <v>480370.13</v>
      </c>
      <c r="D258" s="45">
        <v>383838.98</v>
      </c>
      <c r="E258" s="45">
        <v>516612.32</v>
      </c>
      <c r="F258" s="45">
        <v>297351.39</v>
      </c>
      <c r="G258" s="45">
        <v>437372.39</v>
      </c>
      <c r="H258" s="45">
        <v>312175.5</v>
      </c>
      <c r="I258" s="45">
        <v>504666.58999999997</v>
      </c>
      <c r="J258" s="45">
        <v>554620.34000000008</v>
      </c>
      <c r="K258" s="45">
        <v>513636.76</v>
      </c>
      <c r="L258" s="45">
        <v>420688</v>
      </c>
      <c r="M258" s="45">
        <v>461854.36</v>
      </c>
      <c r="O258" s="45">
        <f t="shared" ref="O258:O268" si="10">SUM(B258:M258)</f>
        <v>5403506.2700000005</v>
      </c>
      <c r="P258" s="45">
        <f>O258+4835530</f>
        <v>10239036.27</v>
      </c>
    </row>
    <row r="259" spans="1:17" ht="18" x14ac:dyDescent="0.25">
      <c r="A259" s="44" t="s">
        <v>102</v>
      </c>
      <c r="B259" s="45">
        <v>72844.740000000005</v>
      </c>
      <c r="C259" s="45">
        <v>67251.830000000016</v>
      </c>
      <c r="D259" s="45">
        <v>53737.46</v>
      </c>
      <c r="E259" s="45">
        <v>72325.740000000005</v>
      </c>
      <c r="F259" s="45">
        <v>41629.19</v>
      </c>
      <c r="G259" s="45">
        <v>61232.14</v>
      </c>
      <c r="H259" s="45">
        <v>43704.569999999992</v>
      </c>
      <c r="I259" s="45">
        <v>70653.319999999992</v>
      </c>
      <c r="J259" s="45">
        <v>77646.849999999991</v>
      </c>
      <c r="K259" s="45">
        <v>71909.150000000009</v>
      </c>
      <c r="L259" s="45">
        <v>58896.320000000007</v>
      </c>
      <c r="M259" s="45">
        <v>64659.610000000008</v>
      </c>
      <c r="O259" s="45">
        <f t="shared" si="10"/>
        <v>756490.92</v>
      </c>
      <c r="P259" s="45">
        <f>O259+676974</f>
        <v>1433464.92</v>
      </c>
    </row>
    <row r="260" spans="1:17" x14ac:dyDescent="0.25">
      <c r="A260" s="44" t="s">
        <v>88</v>
      </c>
      <c r="B260" s="45">
        <v>10406.4</v>
      </c>
      <c r="C260" s="45">
        <v>9607.41</v>
      </c>
      <c r="D260" s="45">
        <v>7676.78</v>
      </c>
      <c r="E260" s="45">
        <v>10332.26</v>
      </c>
      <c r="F260" s="45">
        <v>5947.0300000000007</v>
      </c>
      <c r="G260" s="45">
        <v>8747.4500000000007</v>
      </c>
      <c r="H260" s="45">
        <v>6243.51</v>
      </c>
      <c r="I260" s="45">
        <v>10093.33</v>
      </c>
      <c r="J260" s="45">
        <v>11092.410000000002</v>
      </c>
      <c r="K260" s="45">
        <v>10272.740000000002</v>
      </c>
      <c r="L260" s="45">
        <v>8413.76</v>
      </c>
      <c r="M260" s="45">
        <v>9237.09</v>
      </c>
      <c r="O260" s="45">
        <f t="shared" si="10"/>
        <v>108070.17</v>
      </c>
      <c r="P260" s="45">
        <f>O260+96711</f>
        <v>204781.16999999998</v>
      </c>
    </row>
    <row r="261" spans="1:17" ht="18" x14ac:dyDescent="0.25">
      <c r="A261" s="40" t="s">
        <v>105</v>
      </c>
      <c r="B261" s="41">
        <v>0</v>
      </c>
      <c r="C261" s="41">
        <v>0</v>
      </c>
      <c r="D261" s="41">
        <v>0</v>
      </c>
      <c r="E261" s="41">
        <v>0</v>
      </c>
      <c r="F261" s="41">
        <v>0</v>
      </c>
      <c r="G261" s="41">
        <v>0</v>
      </c>
      <c r="H261" s="41">
        <v>0</v>
      </c>
      <c r="I261" s="41">
        <v>0</v>
      </c>
      <c r="J261" s="41">
        <v>0</v>
      </c>
      <c r="K261" s="41">
        <v>0</v>
      </c>
      <c r="L261" s="41">
        <v>0</v>
      </c>
      <c r="M261" s="41">
        <v>0</v>
      </c>
      <c r="O261" s="41"/>
      <c r="P261" s="41"/>
    </row>
    <row r="262" spans="1:17" x14ac:dyDescent="0.25">
      <c r="A262" s="44" t="s">
        <v>97</v>
      </c>
      <c r="B262" s="45">
        <v>0</v>
      </c>
      <c r="C262" s="45">
        <v>0</v>
      </c>
      <c r="D262" s="45">
        <v>0</v>
      </c>
      <c r="E262" s="45">
        <v>0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45">
        <v>0</v>
      </c>
      <c r="O262" s="45">
        <f t="shared" si="10"/>
        <v>0</v>
      </c>
      <c r="P262" s="45">
        <f>O262</f>
        <v>0</v>
      </c>
    </row>
    <row r="263" spans="1:17" ht="18" x14ac:dyDescent="0.25">
      <c r="A263" s="44" t="s">
        <v>102</v>
      </c>
      <c r="B263" s="45">
        <v>0</v>
      </c>
      <c r="C263" s="45">
        <v>0</v>
      </c>
      <c r="D263" s="45">
        <v>0</v>
      </c>
      <c r="E263" s="45">
        <v>0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45">
        <v>0</v>
      </c>
      <c r="O263" s="45">
        <f t="shared" si="10"/>
        <v>0</v>
      </c>
      <c r="P263" s="45">
        <f>O263</f>
        <v>0</v>
      </c>
    </row>
    <row r="264" spans="1:17" x14ac:dyDescent="0.25">
      <c r="A264" s="44" t="s">
        <v>88</v>
      </c>
      <c r="B264" s="45">
        <v>0</v>
      </c>
      <c r="C264" s="45">
        <v>0</v>
      </c>
      <c r="D264" s="45">
        <v>0</v>
      </c>
      <c r="E264" s="45">
        <v>0</v>
      </c>
      <c r="F264" s="45"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  <c r="M264" s="45">
        <v>0</v>
      </c>
      <c r="O264" s="45">
        <f t="shared" si="10"/>
        <v>0</v>
      </c>
      <c r="P264" s="45">
        <f>O264</f>
        <v>0</v>
      </c>
    </row>
    <row r="265" spans="1:17" ht="18" x14ac:dyDescent="0.25">
      <c r="A265" s="40" t="s">
        <v>106</v>
      </c>
      <c r="B265" s="41">
        <v>0</v>
      </c>
      <c r="C265" s="41">
        <v>0</v>
      </c>
      <c r="D265" s="41">
        <v>0</v>
      </c>
      <c r="E265" s="41">
        <v>0</v>
      </c>
      <c r="F265" s="41">
        <v>0</v>
      </c>
      <c r="G265" s="41">
        <v>0</v>
      </c>
      <c r="H265" s="41">
        <v>0</v>
      </c>
      <c r="I265" s="41">
        <v>0</v>
      </c>
      <c r="J265" s="41">
        <v>0</v>
      </c>
      <c r="K265" s="41">
        <v>0</v>
      </c>
      <c r="L265" s="41">
        <v>0</v>
      </c>
      <c r="M265" s="41">
        <v>0</v>
      </c>
      <c r="O265" s="41"/>
      <c r="P265" s="41"/>
    </row>
    <row r="266" spans="1:17" x14ac:dyDescent="0.25">
      <c r="A266" s="44" t="s">
        <v>97</v>
      </c>
      <c r="B266" s="45">
        <v>0</v>
      </c>
      <c r="C266" s="45">
        <v>0</v>
      </c>
      <c r="D266" s="45">
        <v>0</v>
      </c>
      <c r="E266" s="45">
        <v>0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O266" s="45">
        <f t="shared" si="10"/>
        <v>0</v>
      </c>
      <c r="P266" s="45">
        <f>O266</f>
        <v>0</v>
      </c>
    </row>
    <row r="267" spans="1:17" ht="18" x14ac:dyDescent="0.25">
      <c r="A267" s="44" t="s">
        <v>102</v>
      </c>
      <c r="B267" s="45">
        <v>0</v>
      </c>
      <c r="C267" s="45">
        <v>0</v>
      </c>
      <c r="D267" s="45">
        <v>0</v>
      </c>
      <c r="E267" s="45">
        <v>0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45">
        <v>0</v>
      </c>
      <c r="O267" s="45">
        <f t="shared" si="10"/>
        <v>0</v>
      </c>
      <c r="P267" s="45">
        <f>O267</f>
        <v>0</v>
      </c>
    </row>
    <row r="268" spans="1:17" x14ac:dyDescent="0.25">
      <c r="A268" s="44" t="s">
        <v>88</v>
      </c>
      <c r="B268" s="45">
        <v>0</v>
      </c>
      <c r="C268" s="45">
        <v>0</v>
      </c>
      <c r="D268" s="45">
        <v>0</v>
      </c>
      <c r="E268" s="45">
        <v>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O268" s="45">
        <f t="shared" si="10"/>
        <v>0</v>
      </c>
      <c r="P268" s="45">
        <f>O268</f>
        <v>0</v>
      </c>
    </row>
    <row r="269" spans="1:17" x14ac:dyDescent="0.25">
      <c r="A269" s="44"/>
      <c r="B269" s="41"/>
      <c r="C269" s="65"/>
      <c r="D269" s="65"/>
      <c r="E269" s="41"/>
      <c r="F269" s="41"/>
      <c r="G269" s="41"/>
      <c r="I269" s="41"/>
      <c r="J269" s="51"/>
      <c r="K269" s="45"/>
      <c r="L269" s="45"/>
      <c r="M269" s="45"/>
      <c r="O269" s="51"/>
      <c r="P269" s="51"/>
    </row>
    <row r="270" spans="1:17" x14ac:dyDescent="0.25">
      <c r="A270" s="39" t="s">
        <v>96</v>
      </c>
      <c r="B270" s="51"/>
      <c r="C270" s="45"/>
      <c r="D270" s="45"/>
      <c r="E270" s="51"/>
      <c r="F270" s="51"/>
      <c r="G270" s="51"/>
      <c r="I270" s="51"/>
      <c r="J270" s="51"/>
      <c r="K270" s="45"/>
      <c r="L270" s="45"/>
      <c r="M270" s="45"/>
      <c r="O270" s="51"/>
      <c r="P270" s="51"/>
    </row>
    <row r="271" spans="1:17" x14ac:dyDescent="0.25">
      <c r="A271" s="40" t="s">
        <v>87</v>
      </c>
      <c r="B271" s="66">
        <f>+B7+B29+B51+B73+B95+B117+B139+B161+B183+B205+B227+B249</f>
        <v>1097</v>
      </c>
      <c r="C271" s="64">
        <v>1097</v>
      </c>
      <c r="D271" s="64">
        <v>1091.8</v>
      </c>
      <c r="E271" s="66">
        <v>1099</v>
      </c>
      <c r="F271" s="66">
        <v>1126</v>
      </c>
      <c r="G271" s="66">
        <v>1124.8000000000002</v>
      </c>
      <c r="H271" s="66">
        <v>1124.5999999999999</v>
      </c>
      <c r="I271" s="66">
        <v>1125</v>
      </c>
      <c r="J271" s="66">
        <v>1124</v>
      </c>
      <c r="K271" s="64">
        <v>1124.5999999999999</v>
      </c>
      <c r="L271" s="64">
        <v>1125.5999999999999</v>
      </c>
      <c r="M271" s="64">
        <v>1132.2</v>
      </c>
      <c r="O271" s="41"/>
      <c r="P271" s="41"/>
    </row>
    <row r="272" spans="1:17" x14ac:dyDescent="0.25">
      <c r="A272" s="44" t="s">
        <v>97</v>
      </c>
      <c r="B272" s="45">
        <f t="shared" ref="B272:B290" si="11">+B8+B30+B52+B74+B96+B118+B140+B162+B184+B206+B228+B250</f>
        <v>61108776.339999996</v>
      </c>
      <c r="C272" s="45">
        <v>66439967.57</v>
      </c>
      <c r="D272" s="45">
        <v>59203617.160000004</v>
      </c>
      <c r="E272" s="45">
        <v>63059447.610000007</v>
      </c>
      <c r="F272" s="45">
        <v>63775741.019999996</v>
      </c>
      <c r="G272" s="45">
        <v>67999651.890000001</v>
      </c>
      <c r="H272" s="45">
        <v>66023942.479999997</v>
      </c>
      <c r="I272" s="45">
        <v>63916996.880000003</v>
      </c>
      <c r="J272" s="45">
        <v>69770439.770000011</v>
      </c>
      <c r="K272" s="45">
        <v>64684083.450000003</v>
      </c>
      <c r="L272" s="45">
        <v>66748021.18999999</v>
      </c>
      <c r="M272" s="45">
        <v>67007379.809999995</v>
      </c>
      <c r="O272" s="45">
        <f t="shared" ref="O272:O274" si="12">SUM(B272:M272)</f>
        <v>779738065.16999996</v>
      </c>
      <c r="P272" s="45">
        <f>P8+P30+P52+P74+P96+P118+P140+P162+P184+P206+P228+P250</f>
        <v>3396285924.1700006</v>
      </c>
      <c r="Q272" s="67"/>
    </row>
    <row r="273" spans="1:17" ht="18" x14ac:dyDescent="0.25">
      <c r="A273" s="44" t="s">
        <v>102</v>
      </c>
      <c r="B273" s="45">
        <f t="shared" si="11"/>
        <v>7594829.7200000007</v>
      </c>
      <c r="C273" s="45">
        <v>8246029.1500000013</v>
      </c>
      <c r="D273" s="45">
        <v>7335774.4000000004</v>
      </c>
      <c r="E273" s="45">
        <v>7799157.71</v>
      </c>
      <c r="F273" s="45">
        <v>7880422.1699999999</v>
      </c>
      <c r="G273" s="45">
        <v>8427343.1600000001</v>
      </c>
      <c r="H273" s="45">
        <v>8146562.7600000007</v>
      </c>
      <c r="I273" s="45">
        <v>7937469.7999999998</v>
      </c>
      <c r="J273" s="45">
        <v>8684523.7199999988</v>
      </c>
      <c r="K273" s="45">
        <v>7990026.6800000006</v>
      </c>
      <c r="L273" s="45">
        <v>8255370.7000000002</v>
      </c>
      <c r="M273" s="45">
        <v>8266316.6000000006</v>
      </c>
      <c r="O273" s="45">
        <f t="shared" si="12"/>
        <v>96563826.570000008</v>
      </c>
      <c r="P273" s="45">
        <f>P9+P31+P53+P75+P97+P119+P141+P163+P185+P207+P229+P251</f>
        <v>441285326.56999999</v>
      </c>
      <c r="Q273" s="67"/>
    </row>
    <row r="274" spans="1:17" x14ac:dyDescent="0.25">
      <c r="A274" s="44" t="s">
        <v>88</v>
      </c>
      <c r="B274" s="45">
        <f t="shared" si="11"/>
        <v>1222175.6000000001</v>
      </c>
      <c r="C274" s="45">
        <v>1328799.4099999999</v>
      </c>
      <c r="D274" s="45">
        <v>1184072.44</v>
      </c>
      <c r="E274" s="45">
        <v>1261189.0699999998</v>
      </c>
      <c r="F274" s="45">
        <v>1275514.9300000002</v>
      </c>
      <c r="G274" s="45">
        <v>1359993.1199999999</v>
      </c>
      <c r="H274" s="45">
        <v>1320478.9400000002</v>
      </c>
      <c r="I274" s="45">
        <v>1278340.02</v>
      </c>
      <c r="J274" s="45">
        <v>1395408.91</v>
      </c>
      <c r="K274" s="45">
        <v>1293681.75</v>
      </c>
      <c r="L274" s="45">
        <v>1334960.51</v>
      </c>
      <c r="M274" s="45">
        <v>1340147.6600000001</v>
      </c>
      <c r="O274" s="45">
        <f t="shared" si="12"/>
        <v>15594762.359999999</v>
      </c>
      <c r="P274" s="45">
        <f>P10+P32+P54+P76+P98+P120+P142+P164+P186+P208+P230+P252</f>
        <v>67925724.359999985</v>
      </c>
      <c r="Q274" s="67"/>
    </row>
    <row r="275" spans="1:17" ht="18" x14ac:dyDescent="0.25">
      <c r="A275" s="40" t="s">
        <v>103</v>
      </c>
      <c r="B275" s="41">
        <f t="shared" si="11"/>
        <v>213</v>
      </c>
      <c r="C275" s="41">
        <v>213</v>
      </c>
      <c r="D275" s="41">
        <v>203</v>
      </c>
      <c r="E275" s="41">
        <v>203</v>
      </c>
      <c r="F275" s="41">
        <v>227</v>
      </c>
      <c r="G275" s="41">
        <v>227</v>
      </c>
      <c r="H275" s="41">
        <v>227</v>
      </c>
      <c r="I275" s="41">
        <v>227</v>
      </c>
      <c r="J275" s="41">
        <v>227</v>
      </c>
      <c r="K275" s="41">
        <v>227</v>
      </c>
      <c r="L275" s="41">
        <v>227</v>
      </c>
      <c r="M275" s="41">
        <v>225.6</v>
      </c>
      <c r="O275" s="41"/>
      <c r="P275" s="41"/>
      <c r="Q275" s="67"/>
    </row>
    <row r="276" spans="1:17" x14ac:dyDescent="0.25">
      <c r="A276" s="44" t="s">
        <v>97</v>
      </c>
      <c r="B276" s="45">
        <f t="shared" si="11"/>
        <v>4432462</v>
      </c>
      <c r="C276" s="45">
        <v>4865656.0999999996</v>
      </c>
      <c r="D276" s="45">
        <v>3884430.26</v>
      </c>
      <c r="E276" s="45">
        <v>4562376.9499999993</v>
      </c>
      <c r="F276" s="45">
        <v>4946594.01</v>
      </c>
      <c r="G276" s="45">
        <v>4950443</v>
      </c>
      <c r="H276" s="45">
        <v>4874186.05</v>
      </c>
      <c r="I276" s="45">
        <v>4717700</v>
      </c>
      <c r="J276" s="45">
        <v>5149595.0999999996</v>
      </c>
      <c r="K276" s="45">
        <v>4816079.0999999996</v>
      </c>
      <c r="L276" s="45">
        <v>4836006.25</v>
      </c>
      <c r="M276" s="45">
        <v>4505358.2799999993</v>
      </c>
      <c r="O276" s="45">
        <f t="shared" ref="O276:O278" si="13">SUM(B276:M276)</f>
        <v>56540887.100000009</v>
      </c>
      <c r="P276" s="45">
        <f>P12+P34+P56+P78+P100+P122+P144+P166+P188+P210+P232+P254</f>
        <v>284908518.10000002</v>
      </c>
      <c r="Q276" s="67"/>
    </row>
    <row r="277" spans="1:17" ht="18" x14ac:dyDescent="0.25">
      <c r="A277" s="44" t="s">
        <v>102</v>
      </c>
      <c r="B277" s="45">
        <f t="shared" si="11"/>
        <v>531895.44000000006</v>
      </c>
      <c r="C277" s="45">
        <v>583878.73</v>
      </c>
      <c r="D277" s="45">
        <v>466131.63</v>
      </c>
      <c r="E277" s="45">
        <v>547485.24</v>
      </c>
      <c r="F277" s="45">
        <v>593591.27999999991</v>
      </c>
      <c r="G277" s="45">
        <v>594053.15999999992</v>
      </c>
      <c r="H277" s="45">
        <v>584902.32999999996</v>
      </c>
      <c r="I277" s="45">
        <v>566124</v>
      </c>
      <c r="J277" s="45">
        <v>617951.41</v>
      </c>
      <c r="K277" s="45">
        <v>577929.49</v>
      </c>
      <c r="L277" s="45">
        <v>580320.75</v>
      </c>
      <c r="M277" s="45">
        <v>540642.99</v>
      </c>
      <c r="O277" s="45">
        <f t="shared" si="13"/>
        <v>6784906.4500000002</v>
      </c>
      <c r="P277" s="45">
        <f>P13+P35+P57+P79+P101+P123+P145+P167+P189+P211+P233+P255</f>
        <v>36492578.450000003</v>
      </c>
      <c r="Q277" s="67"/>
    </row>
    <row r="278" spans="1:17" x14ac:dyDescent="0.25">
      <c r="A278" s="44" t="s">
        <v>88</v>
      </c>
      <c r="B278" s="45">
        <f t="shared" si="11"/>
        <v>88649.239999999991</v>
      </c>
      <c r="C278" s="45">
        <v>97313.119999999981</v>
      </c>
      <c r="D278" s="45">
        <v>77688.61</v>
      </c>
      <c r="E278" s="45">
        <v>91247.54</v>
      </c>
      <c r="F278" s="45">
        <v>98931.87999999999</v>
      </c>
      <c r="G278" s="45">
        <v>99008.86</v>
      </c>
      <c r="H278" s="45">
        <v>97483.72</v>
      </c>
      <c r="I278" s="45">
        <v>94353.999999999985</v>
      </c>
      <c r="J278" s="45">
        <v>102991.90000000001</v>
      </c>
      <c r="K278" s="45">
        <v>96321.58</v>
      </c>
      <c r="L278" s="45">
        <v>96720.13</v>
      </c>
      <c r="M278" s="45">
        <v>90107.160000000018</v>
      </c>
      <c r="O278" s="45">
        <f t="shared" si="13"/>
        <v>1130817.74</v>
      </c>
      <c r="P278" s="45">
        <f>P14+P36+P58+P80+P102+P124+P146+P168+P190+P212+P234+P256</f>
        <v>5698170.7400000002</v>
      </c>
      <c r="Q278" s="67"/>
    </row>
    <row r="279" spans="1:17" ht="18" x14ac:dyDescent="0.25">
      <c r="A279" s="40" t="s">
        <v>104</v>
      </c>
      <c r="B279" s="41">
        <f t="shared" si="11"/>
        <v>872</v>
      </c>
      <c r="C279" s="41">
        <v>872</v>
      </c>
      <c r="D279" s="41">
        <v>877.2</v>
      </c>
      <c r="E279" s="41">
        <v>884</v>
      </c>
      <c r="F279" s="41">
        <v>888</v>
      </c>
      <c r="G279" s="41">
        <v>886.80000000000007</v>
      </c>
      <c r="H279" s="41">
        <v>886.6</v>
      </c>
      <c r="I279" s="41">
        <v>885.6</v>
      </c>
      <c r="J279" s="41">
        <v>885</v>
      </c>
      <c r="K279" s="41">
        <v>885.6</v>
      </c>
      <c r="L279" s="41">
        <v>886.6</v>
      </c>
      <c r="M279" s="41">
        <v>893</v>
      </c>
      <c r="O279" s="41"/>
      <c r="P279" s="41"/>
      <c r="Q279" s="67"/>
    </row>
    <row r="280" spans="1:17" x14ac:dyDescent="0.25">
      <c r="A280" s="44" t="s">
        <v>97</v>
      </c>
      <c r="B280" s="45">
        <f t="shared" si="11"/>
        <v>55936990.339999996</v>
      </c>
      <c r="C280" s="45">
        <v>60798941.970000006</v>
      </c>
      <c r="D280" s="45">
        <v>54661352.899999999</v>
      </c>
      <c r="E280" s="45">
        <v>57845036.159999996</v>
      </c>
      <c r="F280" s="45">
        <v>58178011.010000005</v>
      </c>
      <c r="G280" s="45">
        <v>62288510.390000001</v>
      </c>
      <c r="H280" s="45">
        <v>60510208.93</v>
      </c>
      <c r="I280" s="45">
        <v>58442423.880000003</v>
      </c>
      <c r="J280" s="45">
        <v>63735613.670000002</v>
      </c>
      <c r="K280" s="45">
        <v>59227816.350000001</v>
      </c>
      <c r="L280" s="45">
        <v>61214384.43999999</v>
      </c>
      <c r="M280" s="45">
        <v>61866157.029999994</v>
      </c>
      <c r="O280" s="45">
        <f t="shared" ref="O280:O282" si="14">SUM(B280:M280)</f>
        <v>714705447.06999993</v>
      </c>
      <c r="P280" s="45">
        <f>P16+P38+P60+P82+P104+P126+P148+P170+P192+P214+P236+P258</f>
        <v>3079501938.0700002</v>
      </c>
      <c r="Q280" s="67"/>
    </row>
    <row r="281" spans="1:17" ht="18" x14ac:dyDescent="0.25">
      <c r="A281" s="44" t="s">
        <v>102</v>
      </c>
      <c r="B281" s="45">
        <f t="shared" si="11"/>
        <v>6722845.2400000002</v>
      </c>
      <c r="C281" s="45">
        <v>7305480.4500000011</v>
      </c>
      <c r="D281" s="45">
        <v>6567039.1299999999</v>
      </c>
      <c r="E281" s="45">
        <v>6951736.6000000006</v>
      </c>
      <c r="F281" s="45">
        <v>6987308.330000001</v>
      </c>
      <c r="G281" s="45">
        <v>7483368.6899999995</v>
      </c>
      <c r="H281" s="45">
        <v>7267468.5799999991</v>
      </c>
      <c r="I281" s="45">
        <v>7023184.2200000007</v>
      </c>
      <c r="J281" s="45">
        <v>7659366.0500000007</v>
      </c>
      <c r="K281" s="45">
        <v>7117610.71</v>
      </c>
      <c r="L281" s="45">
        <v>7354139.9200000009</v>
      </c>
      <c r="M281" s="45">
        <v>7433175.9400000004</v>
      </c>
      <c r="O281" s="45">
        <f t="shared" si="14"/>
        <v>85872723.859999985</v>
      </c>
      <c r="P281" s="45">
        <f>P17+P39+P61+P83+P105+P127+P149+P171+P193+P215+P237+P259</f>
        <v>392554468.86000001</v>
      </c>
      <c r="Q281" s="67"/>
    </row>
    <row r="282" spans="1:17" x14ac:dyDescent="0.25">
      <c r="A282" s="44" t="s">
        <v>88</v>
      </c>
      <c r="B282" s="45">
        <f t="shared" si="11"/>
        <v>1118739.8799999999</v>
      </c>
      <c r="C282" s="45">
        <v>1215978.8999999999</v>
      </c>
      <c r="D282" s="45">
        <v>1093227.1500000001</v>
      </c>
      <c r="E282" s="45">
        <v>1156900.8399999999</v>
      </c>
      <c r="F282" s="45">
        <v>1163560.33</v>
      </c>
      <c r="G282" s="45">
        <v>1245770.2899999998</v>
      </c>
      <c r="H282" s="45">
        <v>1210204.27</v>
      </c>
      <c r="I282" s="45">
        <v>1168848.56</v>
      </c>
      <c r="J282" s="45">
        <v>1274712.3900000001</v>
      </c>
      <c r="K282" s="45">
        <v>1184556.4099999999</v>
      </c>
      <c r="L282" s="45">
        <v>1224287.77</v>
      </c>
      <c r="M282" s="45">
        <v>1237323.2100000002</v>
      </c>
      <c r="O282" s="45">
        <f t="shared" si="14"/>
        <v>14294110.000000002</v>
      </c>
      <c r="P282" s="45">
        <f>P18+P40+P62+P84+P106+P128+P150+P172+P194+P216+P238+P260</f>
        <v>61590047</v>
      </c>
      <c r="Q282" s="67"/>
    </row>
    <row r="283" spans="1:17" ht="18" x14ac:dyDescent="0.25">
      <c r="A283" s="40" t="s">
        <v>105</v>
      </c>
      <c r="B283" s="41">
        <f t="shared" si="11"/>
        <v>0</v>
      </c>
      <c r="C283" s="41">
        <v>0</v>
      </c>
      <c r="D283" s="41">
        <v>0</v>
      </c>
      <c r="E283" s="41">
        <v>0</v>
      </c>
      <c r="F283" s="41">
        <v>0</v>
      </c>
      <c r="G283" s="41">
        <v>0</v>
      </c>
      <c r="H283" s="41">
        <v>0</v>
      </c>
      <c r="I283" s="41">
        <v>0</v>
      </c>
      <c r="J283" s="41">
        <v>0</v>
      </c>
      <c r="K283" s="41">
        <v>0</v>
      </c>
      <c r="L283" s="41">
        <v>0</v>
      </c>
      <c r="M283" s="41">
        <v>0</v>
      </c>
      <c r="O283" s="41"/>
      <c r="P283" s="41"/>
      <c r="Q283" s="67"/>
    </row>
    <row r="284" spans="1:17" x14ac:dyDescent="0.25">
      <c r="A284" s="44" t="s">
        <v>97</v>
      </c>
      <c r="B284" s="45">
        <f t="shared" si="11"/>
        <v>0</v>
      </c>
      <c r="C284" s="45">
        <v>0</v>
      </c>
      <c r="D284" s="45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O284" s="45">
        <f t="shared" ref="O284:O286" si="15">SUM(B284:M284)</f>
        <v>0</v>
      </c>
      <c r="P284" s="45">
        <f>P20+P42+P64+P86+P108+P130+P152+P174+P196+P218+P240+P262</f>
        <v>7833510</v>
      </c>
      <c r="Q284" s="67"/>
    </row>
    <row r="285" spans="1:17" ht="18" x14ac:dyDescent="0.25">
      <c r="A285" s="44" t="s">
        <v>102</v>
      </c>
      <c r="B285" s="45">
        <f t="shared" si="11"/>
        <v>0</v>
      </c>
      <c r="C285" s="45">
        <v>0</v>
      </c>
      <c r="D285" s="45">
        <v>0</v>
      </c>
      <c r="E285" s="45">
        <v>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O285" s="45">
        <f t="shared" si="15"/>
        <v>0</v>
      </c>
      <c r="P285" s="45">
        <f>P21+P43+P65+P87+P109+P131+P153+P175+P197+P219+P241+P263</f>
        <v>1095237</v>
      </c>
      <c r="Q285" s="67"/>
    </row>
    <row r="286" spans="1:17" x14ac:dyDescent="0.25">
      <c r="A286" s="44" t="s">
        <v>88</v>
      </c>
      <c r="B286" s="45">
        <f t="shared" si="11"/>
        <v>0</v>
      </c>
      <c r="C286" s="45">
        <v>0</v>
      </c>
      <c r="D286" s="45">
        <v>0</v>
      </c>
      <c r="E286" s="45">
        <v>0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O286" s="45">
        <f t="shared" si="15"/>
        <v>0</v>
      </c>
      <c r="P286" s="45">
        <f>P22+P44+P66+P88+P110+P132+P154+P176+P198+P220+P242+P264</f>
        <v>156670</v>
      </c>
      <c r="Q286" s="67"/>
    </row>
    <row r="287" spans="1:17" ht="18" x14ac:dyDescent="0.25">
      <c r="A287" s="40" t="s">
        <v>106</v>
      </c>
      <c r="B287" s="41">
        <f t="shared" si="11"/>
        <v>12</v>
      </c>
      <c r="C287" s="41">
        <v>12</v>
      </c>
      <c r="D287" s="41">
        <v>12</v>
      </c>
      <c r="E287" s="41">
        <v>12</v>
      </c>
      <c r="F287" s="41">
        <v>11.2</v>
      </c>
      <c r="G287" s="41">
        <v>11</v>
      </c>
      <c r="H287" s="41">
        <v>11</v>
      </c>
      <c r="I287" s="41">
        <v>12</v>
      </c>
      <c r="J287" s="41">
        <v>12</v>
      </c>
      <c r="K287" s="41">
        <v>12</v>
      </c>
      <c r="L287" s="41">
        <v>12</v>
      </c>
      <c r="M287" s="41">
        <v>13</v>
      </c>
      <c r="O287" s="41"/>
      <c r="P287" s="41"/>
      <c r="Q287" s="67"/>
    </row>
    <row r="288" spans="1:17" x14ac:dyDescent="0.25">
      <c r="A288" s="44" t="s">
        <v>97</v>
      </c>
      <c r="B288" s="45">
        <f t="shared" si="11"/>
        <v>739324</v>
      </c>
      <c r="C288" s="45">
        <v>775369.5</v>
      </c>
      <c r="D288" s="45">
        <v>657834</v>
      </c>
      <c r="E288" s="45">
        <v>652034.5</v>
      </c>
      <c r="F288" s="45">
        <v>651136</v>
      </c>
      <c r="G288" s="45">
        <v>760698.5</v>
      </c>
      <c r="H288" s="45">
        <v>639547.5</v>
      </c>
      <c r="I288" s="45">
        <v>756873</v>
      </c>
      <c r="J288" s="45">
        <v>885231</v>
      </c>
      <c r="K288" s="45">
        <v>640188</v>
      </c>
      <c r="L288" s="45">
        <v>697630.5</v>
      </c>
      <c r="M288" s="45">
        <v>635864.5</v>
      </c>
      <c r="O288" s="45">
        <f t="shared" ref="O288:O289" si="16">SUM(B288:M288)</f>
        <v>8491731</v>
      </c>
      <c r="P288" s="45">
        <f>P24+P46+P68+P90+P112+P134+P156+P178+P200+P222+P244+P266</f>
        <v>24041958</v>
      </c>
      <c r="Q288" s="67"/>
    </row>
    <row r="289" spans="1:17" ht="18" x14ac:dyDescent="0.25">
      <c r="A289" s="44" t="s">
        <v>102</v>
      </c>
      <c r="B289" s="45">
        <f t="shared" si="11"/>
        <v>340089.04000000004</v>
      </c>
      <c r="C289" s="45">
        <v>356669.97</v>
      </c>
      <c r="D289" s="45">
        <v>302603.64</v>
      </c>
      <c r="E289" s="45">
        <v>299935.87</v>
      </c>
      <c r="F289" s="45">
        <v>299522.56000000006</v>
      </c>
      <c r="G289" s="45">
        <v>349921.30999999994</v>
      </c>
      <c r="H289" s="45">
        <v>294191.84999999998</v>
      </c>
      <c r="I289" s="45">
        <v>348161.58</v>
      </c>
      <c r="J289" s="45">
        <v>407206.26000000007</v>
      </c>
      <c r="K289" s="45">
        <v>294486.48</v>
      </c>
      <c r="L289" s="45">
        <v>320910.02999999997</v>
      </c>
      <c r="M289" s="45">
        <v>292497.66999999993</v>
      </c>
      <c r="O289" s="45">
        <f t="shared" si="16"/>
        <v>3906196.2600000002</v>
      </c>
      <c r="P289" s="45">
        <f>P25+P47+P69+P91+P113+P135+P157+P179+P201+P223+P245+P267</f>
        <v>11143040.260000002</v>
      </c>
      <c r="Q289" s="67"/>
    </row>
    <row r="290" spans="1:17" x14ac:dyDescent="0.25">
      <c r="A290" s="44" t="s">
        <v>88</v>
      </c>
      <c r="B290" s="45">
        <f t="shared" si="11"/>
        <v>14786.48</v>
      </c>
      <c r="C290" s="45">
        <v>15507.390000000003</v>
      </c>
      <c r="D290" s="45">
        <v>13156.68</v>
      </c>
      <c r="E290" s="45">
        <v>13040.69</v>
      </c>
      <c r="F290" s="45">
        <v>13022.720000000001</v>
      </c>
      <c r="G290" s="45">
        <v>15213.97</v>
      </c>
      <c r="H290" s="45">
        <v>12790.95</v>
      </c>
      <c r="I290" s="45">
        <v>15137.46</v>
      </c>
      <c r="J290" s="45">
        <v>17704.62</v>
      </c>
      <c r="K290" s="45">
        <v>12803.76</v>
      </c>
      <c r="L290" s="45">
        <v>13952.609999999999</v>
      </c>
      <c r="M290" s="45">
        <v>12717.29</v>
      </c>
      <c r="O290" s="45">
        <f>SUM(B290:M290)</f>
        <v>169834.62</v>
      </c>
      <c r="P290" s="45">
        <f>P26+P48+P70+P92+P114+P136+P158+P180+P202+P224+P246+P268</f>
        <v>480839.62000000005</v>
      </c>
      <c r="Q290" s="67"/>
    </row>
    <row r="291" spans="1:17" x14ac:dyDescent="0.25">
      <c r="B291" s="45"/>
      <c r="C291" s="41"/>
      <c r="D291" s="41"/>
      <c r="E291" s="41"/>
      <c r="F291" s="45"/>
      <c r="G291" s="45"/>
      <c r="I291" s="45"/>
      <c r="J291" s="45"/>
      <c r="K291" s="45"/>
      <c r="L291" s="45"/>
      <c r="M291" s="45"/>
      <c r="O291" s="45"/>
      <c r="P291" s="45"/>
    </row>
    <row r="292" spans="1:17" x14ac:dyDescent="0.25">
      <c r="B292" s="45"/>
      <c r="C292" s="41"/>
      <c r="D292" s="41"/>
      <c r="E292" s="45"/>
      <c r="F292" s="45"/>
      <c r="G292" s="45"/>
      <c r="I292" s="45"/>
      <c r="J292" s="45"/>
      <c r="K292" s="45"/>
      <c r="L292" s="45"/>
      <c r="M292" s="45"/>
      <c r="O292" s="45"/>
      <c r="P292" s="45"/>
    </row>
    <row r="293" spans="1:17" x14ac:dyDescent="0.25">
      <c r="B293" s="41"/>
      <c r="C293" s="41"/>
      <c r="D293" s="41"/>
      <c r="E293" s="45"/>
      <c r="F293" s="41"/>
      <c r="G293" s="41"/>
      <c r="I293" s="41"/>
      <c r="J293" s="41"/>
      <c r="K293" s="45"/>
      <c r="L293" s="45"/>
      <c r="M293" s="45"/>
      <c r="O293" s="45"/>
      <c r="P293" s="45"/>
    </row>
    <row r="294" spans="1:17" x14ac:dyDescent="0.25">
      <c r="B294" s="45"/>
      <c r="C294" s="41"/>
      <c r="D294" s="41"/>
      <c r="E294" s="45"/>
      <c r="F294" s="41"/>
      <c r="G294" s="45"/>
      <c r="I294" s="45"/>
      <c r="J294" s="45"/>
      <c r="K294" s="41"/>
      <c r="L294" s="41"/>
      <c r="M294" s="45"/>
      <c r="O294" s="45"/>
      <c r="P294" s="45"/>
    </row>
    <row r="295" spans="1:17" x14ac:dyDescent="0.25">
      <c r="B295" s="45"/>
      <c r="C295" s="41"/>
      <c r="D295" s="41"/>
      <c r="E295" s="41"/>
      <c r="F295" s="41"/>
      <c r="G295" s="45"/>
      <c r="I295" s="45"/>
      <c r="J295" s="45"/>
      <c r="K295" s="45"/>
      <c r="L295" s="45"/>
      <c r="M295" s="45"/>
      <c r="O295" s="45"/>
      <c r="P295" s="45"/>
    </row>
    <row r="296" spans="1:17" x14ac:dyDescent="0.25">
      <c r="B296" s="45"/>
      <c r="C296" s="41"/>
      <c r="D296" s="41"/>
      <c r="E296" s="45"/>
      <c r="F296" s="41"/>
      <c r="G296" s="45"/>
      <c r="I296" s="45"/>
      <c r="J296" s="45"/>
      <c r="K296" s="45"/>
      <c r="L296" s="45"/>
      <c r="M296" s="45"/>
      <c r="O296" s="45"/>
      <c r="P296" s="45"/>
    </row>
    <row r="297" spans="1:17" x14ac:dyDescent="0.25">
      <c r="B297" s="41"/>
      <c r="C297" s="41"/>
      <c r="D297" s="41"/>
      <c r="E297" s="45"/>
      <c r="F297" s="41"/>
      <c r="G297" s="41"/>
      <c r="I297" s="41"/>
      <c r="J297" s="41"/>
      <c r="K297" s="45"/>
      <c r="L297" s="45"/>
      <c r="M297" s="45"/>
      <c r="O297" s="45"/>
      <c r="P297" s="45"/>
    </row>
    <row r="298" spans="1:17" x14ac:dyDescent="0.25">
      <c r="B298" s="45"/>
      <c r="C298" s="41"/>
      <c r="D298" s="41"/>
      <c r="E298" s="45"/>
      <c r="F298" s="41"/>
      <c r="G298" s="45"/>
      <c r="I298" s="45"/>
      <c r="J298" s="45"/>
      <c r="K298" s="41"/>
      <c r="L298" s="41"/>
      <c r="M298" s="45"/>
      <c r="O298" s="45"/>
      <c r="P298" s="45"/>
    </row>
    <row r="299" spans="1:17" x14ac:dyDescent="0.25">
      <c r="B299" s="45"/>
      <c r="C299" s="41"/>
      <c r="D299" s="41"/>
      <c r="E299" s="41"/>
      <c r="F299" s="41"/>
      <c r="G299" s="45"/>
      <c r="I299" s="45"/>
      <c r="J299" s="45"/>
      <c r="K299" s="45"/>
      <c r="L299" s="45"/>
      <c r="M299" s="45"/>
      <c r="O299" s="45"/>
      <c r="P299" s="45"/>
    </row>
    <row r="300" spans="1:17" x14ac:dyDescent="0.25">
      <c r="B300" s="45"/>
      <c r="C300" s="41"/>
      <c r="D300" s="41"/>
      <c r="E300" s="45"/>
      <c r="F300" s="41"/>
      <c r="G300" s="45"/>
      <c r="I300" s="45"/>
      <c r="J300" s="45"/>
      <c r="K300" s="45"/>
      <c r="L300" s="45"/>
      <c r="M300" s="45"/>
      <c r="O300" s="45"/>
      <c r="P300" s="45"/>
    </row>
    <row r="301" spans="1:17" x14ac:dyDescent="0.25">
      <c r="C301" s="41"/>
      <c r="D301" s="41"/>
      <c r="E301" s="45"/>
      <c r="F301" s="41"/>
      <c r="I301" s="35"/>
      <c r="K301" s="45"/>
      <c r="L301" s="45"/>
      <c r="M301" s="45"/>
      <c r="O301" s="45"/>
      <c r="P301" s="45"/>
    </row>
    <row r="302" spans="1:17" x14ac:dyDescent="0.25">
      <c r="B302" s="45"/>
      <c r="C302" s="45"/>
      <c r="D302" s="45"/>
      <c r="E302" s="45"/>
      <c r="F302" s="41"/>
      <c r="I302" s="35"/>
      <c r="M302" s="45"/>
      <c r="O302" s="45"/>
      <c r="P302" s="45"/>
    </row>
    <row r="303" spans="1:17" x14ac:dyDescent="0.25">
      <c r="B303" s="45"/>
      <c r="C303" s="45"/>
      <c r="D303" s="45"/>
      <c r="E303" s="41"/>
      <c r="F303" s="41"/>
      <c r="I303" s="35"/>
      <c r="M303" s="45"/>
      <c r="O303" s="45"/>
      <c r="P303" s="45"/>
    </row>
    <row r="304" spans="1:17" x14ac:dyDescent="0.25">
      <c r="B304" s="45"/>
      <c r="C304" s="41"/>
      <c r="D304" s="41"/>
      <c r="E304" s="45"/>
      <c r="F304" s="41"/>
      <c r="I304" s="35"/>
      <c r="M304" s="45"/>
      <c r="O304" s="45"/>
      <c r="P304" s="45"/>
    </row>
    <row r="305" spans="2:16" x14ac:dyDescent="0.25">
      <c r="B305" s="41"/>
      <c r="C305" s="45"/>
      <c r="D305" s="45"/>
      <c r="E305" s="45"/>
      <c r="F305" s="41"/>
      <c r="I305" s="35"/>
      <c r="M305" s="45"/>
      <c r="O305" s="45"/>
      <c r="P305" s="45"/>
    </row>
    <row r="306" spans="2:16" x14ac:dyDescent="0.25">
      <c r="B306" s="45"/>
      <c r="C306" s="45"/>
      <c r="D306" s="45"/>
      <c r="E306" s="45"/>
      <c r="F306" s="41"/>
      <c r="I306" s="35"/>
      <c r="M306" s="45"/>
      <c r="O306" s="45"/>
      <c r="P306" s="45"/>
    </row>
    <row r="307" spans="2:16" x14ac:dyDescent="0.25">
      <c r="B307" s="45"/>
      <c r="C307" s="45"/>
      <c r="D307" s="45"/>
      <c r="E307" s="41"/>
      <c r="F307" s="41"/>
      <c r="I307" s="35"/>
      <c r="M307" s="45"/>
      <c r="O307" s="45"/>
      <c r="P307" s="45"/>
    </row>
    <row r="308" spans="2:16" x14ac:dyDescent="0.25">
      <c r="B308" s="45"/>
      <c r="C308" s="41"/>
      <c r="D308" s="41"/>
      <c r="E308" s="45"/>
      <c r="F308" s="41"/>
      <c r="I308" s="35"/>
      <c r="M308" s="45"/>
      <c r="O308" s="45"/>
      <c r="P308" s="45"/>
    </row>
    <row r="309" spans="2:16" x14ac:dyDescent="0.25">
      <c r="B309" s="41"/>
      <c r="C309" s="45"/>
      <c r="D309" s="45"/>
      <c r="E309" s="45"/>
      <c r="F309" s="41"/>
      <c r="I309" s="35"/>
      <c r="M309" s="45"/>
      <c r="O309" s="45"/>
      <c r="P309" s="45"/>
    </row>
    <row r="310" spans="2:16" x14ac:dyDescent="0.25">
      <c r="B310" s="45"/>
      <c r="C310" s="45"/>
      <c r="D310" s="45"/>
      <c r="E310" s="45"/>
      <c r="F310" s="41"/>
      <c r="I310" s="35"/>
      <c r="M310" s="45"/>
      <c r="O310" s="45"/>
      <c r="P310" s="45"/>
    </row>
    <row r="311" spans="2:16" x14ac:dyDescent="0.25">
      <c r="B311" s="45"/>
      <c r="C311" s="45"/>
      <c r="D311" s="45"/>
      <c r="E311" s="45"/>
      <c r="F311" s="41"/>
      <c r="I311" s="35"/>
      <c r="M311" s="45"/>
      <c r="O311" s="45"/>
      <c r="P311" s="45"/>
    </row>
    <row r="312" spans="2:16" x14ac:dyDescent="0.25">
      <c r="B312" s="45"/>
      <c r="E312" s="41"/>
      <c r="F312" s="41"/>
      <c r="I312" s="35"/>
    </row>
    <row r="313" spans="2:16" x14ac:dyDescent="0.25">
      <c r="B313" s="45"/>
      <c r="E313" s="45"/>
      <c r="F313" s="41"/>
      <c r="I313" s="35"/>
    </row>
    <row r="314" spans="2:16" x14ac:dyDescent="0.25">
      <c r="B314" s="45"/>
      <c r="E314" s="45"/>
      <c r="F314" s="41"/>
      <c r="I314" s="35"/>
    </row>
    <row r="315" spans="2:16" x14ac:dyDescent="0.25">
      <c r="B315" s="41"/>
      <c r="E315" s="45"/>
      <c r="F315" s="63"/>
      <c r="I315" s="35"/>
    </row>
    <row r="316" spans="2:16" x14ac:dyDescent="0.25">
      <c r="B316" s="45"/>
      <c r="E316" s="41"/>
      <c r="F316" s="63"/>
      <c r="I316" s="35"/>
    </row>
    <row r="317" spans="2:16" x14ac:dyDescent="0.25">
      <c r="B317" s="45"/>
      <c r="E317" s="45"/>
      <c r="F317" s="63"/>
      <c r="I317" s="35"/>
    </row>
    <row r="318" spans="2:16" x14ac:dyDescent="0.25">
      <c r="B318" s="45"/>
      <c r="E318" s="45"/>
      <c r="F318" s="63"/>
      <c r="H318" s="39"/>
      <c r="I318" s="39"/>
      <c r="J318" s="39"/>
    </row>
    <row r="319" spans="2:16" x14ac:dyDescent="0.25">
      <c r="B319" s="41"/>
      <c r="E319" s="45"/>
      <c r="F319" s="63"/>
      <c r="H319" s="41"/>
      <c r="I319" s="41"/>
      <c r="J319" s="41"/>
    </row>
    <row r="320" spans="2:16" x14ac:dyDescent="0.25">
      <c r="B320" s="45"/>
      <c r="F320" s="63"/>
      <c r="H320" s="45"/>
      <c r="I320" s="45"/>
      <c r="J320" s="45"/>
    </row>
    <row r="321" spans="2:10" x14ac:dyDescent="0.25">
      <c r="B321" s="45"/>
      <c r="F321" s="63"/>
      <c r="H321" s="45"/>
      <c r="I321" s="45"/>
      <c r="J321" s="45"/>
    </row>
    <row r="322" spans="2:10" x14ac:dyDescent="0.25">
      <c r="B322" s="45"/>
      <c r="F322" s="63"/>
      <c r="H322" s="45"/>
      <c r="I322" s="45"/>
      <c r="J322" s="45"/>
    </row>
    <row r="323" spans="2:10" x14ac:dyDescent="0.25">
      <c r="F323" s="63"/>
      <c r="H323" s="41"/>
      <c r="I323" s="41"/>
      <c r="J323" s="41"/>
    </row>
    <row r="324" spans="2:10" x14ac:dyDescent="0.25">
      <c r="F324" s="63"/>
      <c r="H324" s="45"/>
      <c r="I324" s="45"/>
      <c r="J324" s="45"/>
    </row>
    <row r="325" spans="2:10" x14ac:dyDescent="0.25">
      <c r="F325" s="63"/>
      <c r="H325" s="45"/>
      <c r="I325" s="45"/>
      <c r="J325" s="45"/>
    </row>
    <row r="326" spans="2:10" x14ac:dyDescent="0.25">
      <c r="F326" s="63"/>
      <c r="H326" s="45"/>
      <c r="I326" s="45"/>
      <c r="J326" s="45"/>
    </row>
    <row r="327" spans="2:10" x14ac:dyDescent="0.25">
      <c r="F327" s="63"/>
      <c r="H327" s="41"/>
      <c r="I327" s="41"/>
      <c r="J327" s="41"/>
    </row>
    <row r="328" spans="2:10" x14ac:dyDescent="0.25">
      <c r="F328" s="63"/>
      <c r="H328" s="45"/>
      <c r="I328" s="45"/>
      <c r="J328" s="45"/>
    </row>
    <row r="329" spans="2:10" x14ac:dyDescent="0.25">
      <c r="F329" s="63"/>
      <c r="H329" s="45"/>
      <c r="I329" s="45"/>
      <c r="J329" s="45"/>
    </row>
    <row r="330" spans="2:10" x14ac:dyDescent="0.25">
      <c r="F330" s="63"/>
      <c r="H330" s="45"/>
      <c r="I330" s="45"/>
      <c r="J330" s="45"/>
    </row>
    <row r="331" spans="2:10" x14ac:dyDescent="0.25">
      <c r="F331" s="63"/>
      <c r="H331" s="41"/>
      <c r="I331" s="41"/>
      <c r="J331" s="41"/>
    </row>
    <row r="332" spans="2:10" x14ac:dyDescent="0.25">
      <c r="F332" s="63"/>
      <c r="H332" s="45"/>
      <c r="I332" s="45"/>
      <c r="J332" s="45"/>
    </row>
    <row r="333" spans="2:10" x14ac:dyDescent="0.25">
      <c r="F333" s="63"/>
      <c r="H333" s="45"/>
      <c r="I333" s="45"/>
      <c r="J333" s="45"/>
    </row>
    <row r="334" spans="2:10" x14ac:dyDescent="0.25">
      <c r="F334" s="63"/>
      <c r="H334" s="45"/>
      <c r="I334" s="45"/>
      <c r="J334" s="45"/>
    </row>
    <row r="335" spans="2:10" x14ac:dyDescent="0.25">
      <c r="F335" s="63"/>
      <c r="H335" s="41"/>
      <c r="I335" s="41"/>
      <c r="J335" s="41"/>
    </row>
    <row r="336" spans="2:10" x14ac:dyDescent="0.25">
      <c r="F336" s="63"/>
      <c r="H336" s="45"/>
      <c r="I336" s="45"/>
      <c r="J336" s="45"/>
    </row>
    <row r="337" spans="6:6" x14ac:dyDescent="0.25">
      <c r="F337" s="63"/>
    </row>
    <row r="338" spans="6:6" x14ac:dyDescent="0.25">
      <c r="F338" s="63"/>
    </row>
    <row r="339" spans="6:6" x14ac:dyDescent="0.25">
      <c r="F339" s="63"/>
    </row>
    <row r="340" spans="6:6" x14ac:dyDescent="0.25">
      <c r="F340" s="63"/>
    </row>
    <row r="341" spans="6:6" x14ac:dyDescent="0.25">
      <c r="F341" s="63"/>
    </row>
    <row r="342" spans="6:6" x14ac:dyDescent="0.25">
      <c r="F342" s="63"/>
    </row>
    <row r="343" spans="6:6" x14ac:dyDescent="0.25">
      <c r="F343" s="63"/>
    </row>
    <row r="344" spans="6:6" x14ac:dyDescent="0.25">
      <c r="F344" s="63"/>
    </row>
    <row r="345" spans="6:6" x14ac:dyDescent="0.25">
      <c r="F345" s="63"/>
    </row>
    <row r="346" spans="6:6" x14ac:dyDescent="0.25">
      <c r="F346" s="63"/>
    </row>
    <row r="347" spans="6:6" x14ac:dyDescent="0.25">
      <c r="F347" s="63"/>
    </row>
    <row r="348" spans="6:6" x14ac:dyDescent="0.25">
      <c r="F348" s="63"/>
    </row>
    <row r="349" spans="6:6" x14ac:dyDescent="0.25">
      <c r="F349" s="63"/>
    </row>
    <row r="350" spans="6:6" x14ac:dyDescent="0.25">
      <c r="F350" s="63"/>
    </row>
    <row r="351" spans="6:6" x14ac:dyDescent="0.25">
      <c r="F351" s="63"/>
    </row>
    <row r="352" spans="6:6" x14ac:dyDescent="0.25">
      <c r="F352" s="63"/>
    </row>
    <row r="353" spans="6:6" x14ac:dyDescent="0.25">
      <c r="F353" s="63"/>
    </row>
    <row r="354" spans="6:6" x14ac:dyDescent="0.25">
      <c r="F354" s="63"/>
    </row>
    <row r="355" spans="6:6" x14ac:dyDescent="0.25">
      <c r="F355" s="63"/>
    </row>
    <row r="356" spans="6:6" x14ac:dyDescent="0.25">
      <c r="F356" s="63"/>
    </row>
    <row r="357" spans="6:6" x14ac:dyDescent="0.25">
      <c r="F357" s="63"/>
    </row>
    <row r="358" spans="6:6" x14ac:dyDescent="0.25">
      <c r="F358" s="63"/>
    </row>
    <row r="359" spans="6:6" x14ac:dyDescent="0.25">
      <c r="F359" s="63"/>
    </row>
    <row r="360" spans="6:6" x14ac:dyDescent="0.25">
      <c r="F360" s="63"/>
    </row>
    <row r="361" spans="6:6" x14ac:dyDescent="0.25">
      <c r="F361" s="63"/>
    </row>
    <row r="362" spans="6:6" x14ac:dyDescent="0.25">
      <c r="F362" s="63"/>
    </row>
    <row r="363" spans="6:6" x14ac:dyDescent="0.25">
      <c r="F363" s="63"/>
    </row>
    <row r="364" spans="6:6" x14ac:dyDescent="0.25">
      <c r="F364" s="63"/>
    </row>
    <row r="365" spans="6:6" x14ac:dyDescent="0.25">
      <c r="F365" s="63"/>
    </row>
    <row r="366" spans="6:6" x14ac:dyDescent="0.25">
      <c r="F366" s="63"/>
    </row>
    <row r="367" spans="6:6" x14ac:dyDescent="0.25">
      <c r="F367" s="63"/>
    </row>
    <row r="368" spans="6:6" x14ac:dyDescent="0.25">
      <c r="F368" s="63"/>
    </row>
    <row r="369" spans="6:6" x14ac:dyDescent="0.25">
      <c r="F369" s="63"/>
    </row>
    <row r="370" spans="6:6" x14ac:dyDescent="0.25">
      <c r="F370" s="63"/>
    </row>
    <row r="371" spans="6:6" x14ac:dyDescent="0.25">
      <c r="F371" s="63"/>
    </row>
    <row r="372" spans="6:6" x14ac:dyDescent="0.25">
      <c r="F372" s="63"/>
    </row>
    <row r="373" spans="6:6" x14ac:dyDescent="0.25">
      <c r="F373" s="63"/>
    </row>
    <row r="374" spans="6:6" x14ac:dyDescent="0.25">
      <c r="F374" s="63"/>
    </row>
    <row r="375" spans="6:6" x14ac:dyDescent="0.25">
      <c r="F375" s="63"/>
    </row>
    <row r="376" spans="6:6" x14ac:dyDescent="0.25">
      <c r="F376" s="63"/>
    </row>
    <row r="377" spans="6:6" x14ac:dyDescent="0.25">
      <c r="F377" s="63"/>
    </row>
    <row r="378" spans="6:6" x14ac:dyDescent="0.25">
      <c r="F378" s="63"/>
    </row>
    <row r="379" spans="6:6" x14ac:dyDescent="0.25">
      <c r="F379" s="63"/>
    </row>
    <row r="380" spans="6:6" x14ac:dyDescent="0.25">
      <c r="F380" s="63"/>
    </row>
    <row r="381" spans="6:6" x14ac:dyDescent="0.25">
      <c r="F381" s="63"/>
    </row>
    <row r="382" spans="6:6" x14ac:dyDescent="0.25">
      <c r="F382" s="63"/>
    </row>
    <row r="383" spans="6:6" x14ac:dyDescent="0.25">
      <c r="F383" s="63"/>
    </row>
    <row r="384" spans="6:6" x14ac:dyDescent="0.25">
      <c r="F384" s="63"/>
    </row>
    <row r="385" spans="6:6" x14ac:dyDescent="0.25">
      <c r="F385" s="63"/>
    </row>
    <row r="386" spans="6:6" x14ac:dyDescent="0.25">
      <c r="F386" s="63"/>
    </row>
    <row r="387" spans="6:6" x14ac:dyDescent="0.25">
      <c r="F387" s="63"/>
    </row>
    <row r="388" spans="6:6" x14ac:dyDescent="0.25">
      <c r="F388" s="63"/>
    </row>
    <row r="389" spans="6:6" x14ac:dyDescent="0.25">
      <c r="F389" s="63"/>
    </row>
    <row r="390" spans="6:6" x14ac:dyDescent="0.25">
      <c r="F390" s="63"/>
    </row>
    <row r="391" spans="6:6" x14ac:dyDescent="0.25">
      <c r="F391" s="63"/>
    </row>
    <row r="392" spans="6:6" x14ac:dyDescent="0.25">
      <c r="F392" s="63"/>
    </row>
    <row r="393" spans="6:6" x14ac:dyDescent="0.25">
      <c r="F393" s="63"/>
    </row>
    <row r="394" spans="6:6" x14ac:dyDescent="0.25">
      <c r="F394" s="63"/>
    </row>
    <row r="395" spans="6:6" x14ac:dyDescent="0.25">
      <c r="F395" s="63"/>
    </row>
    <row r="396" spans="6:6" x14ac:dyDescent="0.25">
      <c r="F396" s="63"/>
    </row>
  </sheetData>
  <mergeCells count="2">
    <mergeCell ref="A3:G3"/>
    <mergeCell ref="H3:N3"/>
  </mergeCells>
  <phoneticPr fontId="4" type="noConversion"/>
  <pageMargins left="0.38" right="0.25" top="0.5" bottom="0.49" header="0.5" footer="0.5"/>
  <pageSetup scale="59" orientation="landscape" r:id="rId1"/>
  <headerFooter alignWithMargins="0"/>
  <rowBreaks count="6" manualBreakCount="6">
    <brk id="48" max="16383" man="1"/>
    <brk id="92" max="16383" man="1"/>
    <brk id="137" max="16383" man="1"/>
    <brk id="181" max="16383" man="1"/>
    <brk id="225" max="15" man="1"/>
    <brk id="269" max="16383" man="1"/>
  </rowBreaks>
  <colBreaks count="1" manualBreakCount="1">
    <brk id="7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abSelected="1" zoomScaleNormal="100" workbookViewId="0">
      <selection activeCell="M286" sqref="M286"/>
    </sheetView>
  </sheetViews>
  <sheetFormatPr defaultRowHeight="15.75" x14ac:dyDescent="0.25"/>
  <cols>
    <col min="1" max="1" width="8.5703125" style="35" customWidth="1"/>
    <col min="2" max="2" width="19.28515625" style="35" customWidth="1"/>
    <col min="3" max="3" width="24" style="35" customWidth="1"/>
    <col min="4" max="4" width="30.28515625" style="35" customWidth="1"/>
    <col min="5" max="5" width="18.5703125" style="35" customWidth="1"/>
    <col min="6" max="6" width="25.140625" style="35" customWidth="1"/>
    <col min="7" max="16384" width="9.140625" style="35"/>
  </cols>
  <sheetData>
    <row r="1" spans="1:8" x14ac:dyDescent="0.25">
      <c r="A1" s="43" t="s">
        <v>86</v>
      </c>
    </row>
    <row r="2" spans="1:8" x14ac:dyDescent="0.25">
      <c r="A2" s="43"/>
    </row>
    <row r="3" spans="1:8" ht="16.5" customHeight="1" x14ac:dyDescent="0.25">
      <c r="A3" s="59" t="s">
        <v>107</v>
      </c>
    </row>
    <row r="4" spans="1:8" ht="64.5" customHeight="1" x14ac:dyDescent="0.25">
      <c r="A4" s="78" t="s">
        <v>114</v>
      </c>
      <c r="B4" s="79"/>
      <c r="C4" s="79"/>
      <c r="D4" s="79"/>
      <c r="E4" s="79"/>
      <c r="F4" s="79"/>
      <c r="G4" s="60"/>
      <c r="H4" s="60"/>
    </row>
    <row r="5" spans="1:8" ht="18" x14ac:dyDescent="0.25">
      <c r="A5" s="80" t="s">
        <v>108</v>
      </c>
      <c r="B5" s="80"/>
      <c r="C5" s="80"/>
      <c r="D5" s="80"/>
      <c r="E5" s="80"/>
      <c r="F5" s="80"/>
    </row>
    <row r="6" spans="1:8" ht="15" customHeight="1" x14ac:dyDescent="0.25">
      <c r="A6" s="80" t="s">
        <v>109</v>
      </c>
      <c r="B6" s="81"/>
      <c r="C6" s="81"/>
      <c r="D6" s="81"/>
      <c r="E6" s="81"/>
      <c r="F6" s="81"/>
    </row>
    <row r="7" spans="1:8" ht="35.25" customHeight="1" x14ac:dyDescent="0.25">
      <c r="A7" s="78" t="s">
        <v>110</v>
      </c>
      <c r="B7" s="79"/>
      <c r="C7" s="79"/>
      <c r="D7" s="79"/>
      <c r="E7" s="79"/>
      <c r="F7" s="79"/>
    </row>
    <row r="8" spans="1:8" ht="27.75" customHeight="1" x14ac:dyDescent="0.25">
      <c r="A8" s="78" t="s">
        <v>111</v>
      </c>
      <c r="B8" s="79"/>
      <c r="C8" s="79"/>
      <c r="D8" s="79"/>
      <c r="E8" s="79"/>
      <c r="F8" s="79"/>
    </row>
    <row r="251" spans="6:6" x14ac:dyDescent="0.25">
      <c r="F251" s="47"/>
    </row>
  </sheetData>
  <mergeCells count="5">
    <mergeCell ref="A8:F8"/>
    <mergeCell ref="A4:F4"/>
    <mergeCell ref="A5:F5"/>
    <mergeCell ref="A6:F6"/>
    <mergeCell ref="A7:F7"/>
  </mergeCells>
  <phoneticPr fontId="4" type="noConversion"/>
  <pageMargins left="0.75" right="0.75" top="1" bottom="1" header="0.5" footer="0.5"/>
  <pageSetup scale="9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74" t="s">
        <v>51</v>
      </c>
      <c r="B40" s="74"/>
      <c r="C40" s="74"/>
      <c r="D40" s="74"/>
      <c r="E40" s="74"/>
      <c r="F40" s="74"/>
      <c r="G40" s="74"/>
      <c r="H40" s="74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74" t="s">
        <v>51</v>
      </c>
      <c r="B73" s="74"/>
      <c r="C73" s="74"/>
      <c r="D73" s="74"/>
      <c r="E73" s="74"/>
      <c r="F73" s="74"/>
      <c r="G73" s="74"/>
      <c r="H73" s="74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4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74" t="s">
        <v>51</v>
      </c>
      <c r="B72" s="74"/>
      <c r="C72" s="74"/>
      <c r="D72" s="74"/>
      <c r="E72" s="74"/>
      <c r="F72" s="74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74" t="s">
        <v>51</v>
      </c>
      <c r="B72" s="74"/>
      <c r="C72" s="74"/>
      <c r="D72" s="74"/>
      <c r="E72" s="74"/>
      <c r="F72" s="74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74" t="s">
        <v>51</v>
      </c>
      <c r="B72" s="74"/>
      <c r="C72" s="74"/>
      <c r="D72" s="74"/>
      <c r="E72" s="74"/>
      <c r="F72" s="74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69"/>
      <c r="B1" s="69"/>
      <c r="C1" s="69"/>
      <c r="D1" s="69"/>
      <c r="E1" s="69"/>
      <c r="F1" s="69"/>
    </row>
    <row r="2" spans="1:7" ht="26.25" customHeight="1" x14ac:dyDescent="0.25">
      <c r="A2" s="70" t="s">
        <v>22</v>
      </c>
      <c r="B2" s="71"/>
      <c r="C2" s="71"/>
      <c r="D2" s="71"/>
      <c r="E2" s="71"/>
      <c r="F2" s="7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74" t="s">
        <v>51</v>
      </c>
      <c r="B72" s="74"/>
      <c r="C72" s="74"/>
      <c r="D72" s="74"/>
      <c r="E72" s="74"/>
      <c r="F72" s="74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0" t="s">
        <v>22</v>
      </c>
      <c r="B2" s="71"/>
      <c r="C2" s="71"/>
      <c r="D2" s="71"/>
      <c r="E2" s="71"/>
      <c r="F2" s="71"/>
      <c r="G2" s="71"/>
      <c r="H2" s="71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74" t="s">
        <v>51</v>
      </c>
      <c r="B39" s="74"/>
      <c r="C39" s="74"/>
      <c r="D39" s="74"/>
      <c r="E39" s="74"/>
      <c r="F39" s="74"/>
      <c r="G39" s="74"/>
      <c r="H39" s="74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74" t="s">
        <v>51</v>
      </c>
      <c r="B62" s="74"/>
      <c r="C62" s="74"/>
      <c r="D62" s="74"/>
      <c r="E62" s="74"/>
      <c r="F62" s="74"/>
      <c r="G62" s="74"/>
      <c r="H62" s="74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4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0" t="s">
        <v>22</v>
      </c>
      <c r="B2" s="71"/>
      <c r="C2" s="71"/>
      <c r="D2" s="71"/>
      <c r="E2" s="71"/>
      <c r="F2" s="71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74" t="s">
        <v>51</v>
      </c>
      <c r="B39" s="74"/>
      <c r="C39" s="74"/>
      <c r="D39" s="74"/>
      <c r="E39" s="74"/>
      <c r="F39" s="74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74" t="s">
        <v>51</v>
      </c>
      <c r="B62" s="74"/>
      <c r="C62" s="74"/>
      <c r="D62" s="74"/>
      <c r="E62" s="74"/>
      <c r="F62" s="74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72"/>
      <c r="B1" s="72"/>
      <c r="C1" s="72"/>
      <c r="D1" s="72"/>
      <c r="E1" s="72"/>
      <c r="F1" s="72"/>
      <c r="G1" s="72"/>
      <c r="H1" s="72"/>
      <c r="I1"/>
    </row>
    <row r="2" spans="1:9" ht="26.25" customHeight="1" x14ac:dyDescent="0.25">
      <c r="A2" s="70" t="s">
        <v>22</v>
      </c>
      <c r="B2" s="70"/>
      <c r="C2" s="70"/>
      <c r="D2" s="70"/>
      <c r="E2" s="70"/>
      <c r="F2" s="70"/>
      <c r="G2" s="70"/>
      <c r="H2" s="70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69"/>
      <c r="B1" s="69"/>
      <c r="C1" s="69"/>
      <c r="D1" s="69"/>
      <c r="E1" s="69"/>
      <c r="F1" s="69"/>
    </row>
    <row r="2" spans="1:8" ht="26.25" customHeight="1" x14ac:dyDescent="0.25">
      <c r="A2" s="70" t="s">
        <v>22</v>
      </c>
      <c r="B2" s="71"/>
      <c r="C2" s="71"/>
      <c r="D2" s="71"/>
      <c r="E2" s="71"/>
      <c r="F2" s="71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69"/>
      <c r="B1" s="69"/>
      <c r="C1" s="69"/>
      <c r="D1" s="69"/>
      <c r="E1" s="69"/>
      <c r="F1" s="69"/>
    </row>
    <row r="2" spans="1:9" ht="26.25" customHeight="1" x14ac:dyDescent="0.25">
      <c r="A2" s="70" t="s">
        <v>22</v>
      </c>
      <c r="B2" s="71"/>
      <c r="C2" s="71"/>
      <c r="D2" s="71"/>
      <c r="E2" s="71"/>
      <c r="F2" s="71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69"/>
      <c r="B1" s="69"/>
      <c r="C1" s="69"/>
      <c r="D1" s="69"/>
      <c r="E1" s="69"/>
      <c r="F1" s="69"/>
    </row>
    <row r="2" spans="1:11" ht="26.25" customHeight="1" x14ac:dyDescent="0.25">
      <c r="A2" s="70" t="s">
        <v>22</v>
      </c>
      <c r="B2" s="71"/>
      <c r="C2" s="71"/>
      <c r="D2" s="71"/>
      <c r="E2" s="71"/>
      <c r="F2" s="71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69"/>
      <c r="B1" s="69"/>
      <c r="C1" s="69"/>
      <c r="D1" s="69"/>
      <c r="E1" s="69"/>
      <c r="F1" s="69"/>
    </row>
    <row r="2" spans="1:11" ht="26.25" customHeight="1" x14ac:dyDescent="0.25">
      <c r="A2" s="70" t="s">
        <v>22</v>
      </c>
      <c r="B2" s="71"/>
      <c r="C2" s="71"/>
      <c r="D2" s="71"/>
      <c r="E2" s="71"/>
      <c r="F2" s="71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2014-15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'FY 2014-15'!Print_Area</vt:lpstr>
      <vt:lpstr>'June 4'!Print_Area</vt:lpstr>
      <vt:lpstr>'Mar 12'!Print_Area</vt:lpstr>
      <vt:lpstr>'Feb 19'!Print_Titles</vt:lpstr>
      <vt:lpstr>'FY 2014-15'!Print_Titles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pgcb</cp:lastModifiedBy>
  <cp:lastPrinted>2015-07-15T13:38:28Z</cp:lastPrinted>
  <dcterms:created xsi:type="dcterms:W3CDTF">2006-12-27T14:53:17Z</dcterms:created>
  <dcterms:modified xsi:type="dcterms:W3CDTF">2015-07-15T13:39:35Z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BExAnalyzer_OldName">
    <vt:lpwstr>FY 2014-15 Table Games Monthly Revenue Report - For Web.xlsx</vt:lpwstr>
  </property>
</Properties>
</file>